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omments1.xml" ContentType="application/vnd.openxmlformats-officedocument.spreadsheetml.comments+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omments2.xml" ContentType="application/vnd.openxmlformats-officedocument.spreadsheetml.comments+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mc:AlternateContent xmlns:mc="http://schemas.openxmlformats.org/markup-compatibility/2006">
    <mc:Choice Requires="x15">
      <x15ac:absPath xmlns:x15ac="http://schemas.microsoft.com/office/spreadsheetml/2010/11/ac" url="https://doimspp.sharepoint.com/sites/nps-WASO-FinancialAssistanceSubmissionsTracker/LWCF Program  FA Shared Resources/4. Working Groups/2. Application &amp; Award Package/Recommended Budget Template/"/>
    </mc:Choice>
  </mc:AlternateContent>
  <xr:revisionPtr revIDLastSave="0" documentId="8_{39A3CDA2-17CA-432C-8A50-4CA2CAF03976}" xr6:coauthVersionLast="47" xr6:coauthVersionMax="47" xr10:uidLastSave="{00000000-0000-0000-0000-000000000000}"/>
  <bookViews>
    <workbookView xWindow="-108" yWindow="-108" windowWidth="30936" windowHeight="16776" xr2:uid="{A03AE43A-F0DD-4A0E-AC8C-BA8E2D6B08B0}"/>
  </bookViews>
  <sheets>
    <sheet name="Getting Started" sheetId="1" r:id="rId1"/>
    <sheet name="Park Development &amp; Acquisition" sheetId="3" r:id="rId2"/>
    <sheet name="SF-424C (Automated)" sheetId="5" r:id="rId3"/>
    <sheet name="Planning &amp; Admin" sheetId="11" r:id="rId4"/>
    <sheet name="SF-424A (Automated)" sheetId="12" r:id="rId5"/>
    <sheet name="Data" sheetId="13" state="hidden" r:id="rId6"/>
  </sheets>
  <definedNames>
    <definedName name="_xlnm.Print_Area" localSheetId="4">'SF-424A (Automated)'!$A$3:$G$22</definedName>
    <definedName name="_xlnm.Print_Area" localSheetId="2">'SF-424C (Automated)'!$A$2:$F$28</definedName>
    <definedName name="Trip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13" l="1"/>
  <c r="N14" i="13"/>
  <c r="N15" i="13"/>
  <c r="C15" i="13"/>
  <c r="C14" i="13"/>
  <c r="B125" i="11"/>
  <c r="D111" i="11"/>
  <c r="C111" i="11"/>
  <c r="E22" i="11"/>
  <c r="B111" i="11" s="1"/>
  <c r="E111" i="11" s="1"/>
  <c r="E23" i="11"/>
  <c r="E24" i="11"/>
  <c r="E25" i="11"/>
  <c r="O3" i="13"/>
  <c r="O4" i="13"/>
  <c r="O5" i="13"/>
  <c r="F19" i="13"/>
  <c r="E19" i="13"/>
  <c r="D19" i="13"/>
  <c r="C19" i="13"/>
  <c r="B19" i="13"/>
  <c r="L15" i="13"/>
  <c r="K15" i="13"/>
  <c r="J15" i="13"/>
  <c r="I15" i="13"/>
  <c r="H15" i="13"/>
  <c r="G15" i="13"/>
  <c r="F15" i="13"/>
  <c r="E15" i="13"/>
  <c r="D15" i="13"/>
  <c r="L14" i="13"/>
  <c r="K14" i="13"/>
  <c r="J14" i="13"/>
  <c r="I14" i="13"/>
  <c r="H14" i="13"/>
  <c r="G14" i="13"/>
  <c r="F14" i="13"/>
  <c r="E14" i="13"/>
  <c r="D14" i="13"/>
  <c r="L13" i="13"/>
  <c r="K13" i="13"/>
  <c r="J13" i="13"/>
  <c r="I13" i="13"/>
  <c r="H13" i="13"/>
  <c r="G13" i="13"/>
  <c r="F13" i="13"/>
  <c r="E13" i="13"/>
  <c r="D13" i="13"/>
  <c r="I9" i="13"/>
  <c r="H9" i="13"/>
  <c r="G9" i="13"/>
  <c r="F9" i="13"/>
  <c r="E9" i="13"/>
  <c r="D9" i="13"/>
  <c r="C9" i="13"/>
  <c r="B9" i="13"/>
  <c r="N5" i="13"/>
  <c r="M5" i="13"/>
  <c r="L5" i="13"/>
  <c r="K5" i="13"/>
  <c r="J5" i="13"/>
  <c r="I5" i="13"/>
  <c r="H5" i="13"/>
  <c r="G5" i="13"/>
  <c r="F5" i="13"/>
  <c r="E5" i="13"/>
  <c r="D5" i="13"/>
  <c r="C5" i="13"/>
  <c r="N4" i="13"/>
  <c r="M4" i="13"/>
  <c r="L4" i="13"/>
  <c r="K4" i="13"/>
  <c r="J4" i="13"/>
  <c r="I4" i="13"/>
  <c r="H4" i="13"/>
  <c r="G4" i="13"/>
  <c r="F4" i="13"/>
  <c r="E4" i="13"/>
  <c r="D4" i="13"/>
  <c r="C4" i="13"/>
  <c r="P3" i="13"/>
  <c r="N3" i="13"/>
  <c r="M3" i="13"/>
  <c r="L3" i="13"/>
  <c r="K3" i="13"/>
  <c r="J3" i="13"/>
  <c r="I3" i="13"/>
  <c r="H3" i="13"/>
  <c r="G3" i="13"/>
  <c r="F3" i="13"/>
  <c r="E3" i="13"/>
  <c r="D3" i="13"/>
  <c r="C3" i="13"/>
  <c r="C34" i="3"/>
  <c r="C35" i="3"/>
  <c r="C36" i="3"/>
  <c r="C37" i="3"/>
  <c r="D8" i="12"/>
  <c r="C8" i="12"/>
  <c r="D113" i="11"/>
  <c r="C113" i="11"/>
  <c r="G42" i="11"/>
  <c r="G43" i="11"/>
  <c r="G44" i="11"/>
  <c r="G45" i="11"/>
  <c r="G41" i="11"/>
  <c r="G40" i="11"/>
  <c r="G39" i="11"/>
  <c r="G11" i="12"/>
  <c r="D11" i="12"/>
  <c r="C11" i="12"/>
  <c r="D15" i="12"/>
  <c r="C15" i="12"/>
  <c r="D13" i="12"/>
  <c r="C13" i="12"/>
  <c r="D12" i="12"/>
  <c r="C12" i="12"/>
  <c r="D10" i="12"/>
  <c r="C10" i="12"/>
  <c r="D9" i="12"/>
  <c r="C9" i="12"/>
  <c r="D7" i="12"/>
  <c r="D6" i="12"/>
  <c r="C7" i="12"/>
  <c r="D18" i="5"/>
  <c r="D6" i="5"/>
  <c r="C13" i="13" l="1"/>
  <c r="M13" i="13" s="1"/>
  <c r="M14" i="13"/>
  <c r="C6" i="12"/>
  <c r="M15" i="13"/>
  <c r="B113" i="11"/>
  <c r="D14" i="12"/>
  <c r="D16" i="12" s="1"/>
  <c r="E48" i="3" l="1"/>
  <c r="E76" i="3"/>
  <c r="E75" i="3"/>
  <c r="E77" i="3"/>
  <c r="E78" i="3"/>
  <c r="D122" i="3"/>
  <c r="C122" i="3"/>
  <c r="B122" i="3"/>
  <c r="D121" i="3"/>
  <c r="C121" i="3"/>
  <c r="E25" i="3"/>
  <c r="E26" i="3"/>
  <c r="E27" i="3"/>
  <c r="E28" i="3"/>
  <c r="B138" i="3"/>
  <c r="D32" i="11"/>
  <c r="D33" i="11"/>
  <c r="D34" i="11"/>
  <c r="D31" i="11"/>
  <c r="G7" i="12" s="1"/>
  <c r="D13" i="5" l="1"/>
  <c r="G6" i="12"/>
  <c r="G8" i="12"/>
  <c r="B121" i="3"/>
  <c r="D120" i="11"/>
  <c r="C120" i="11"/>
  <c r="D119" i="11"/>
  <c r="C119" i="11"/>
  <c r="D118" i="11"/>
  <c r="C118" i="11"/>
  <c r="D117" i="11"/>
  <c r="C117" i="11"/>
  <c r="B117" i="11"/>
  <c r="D116" i="11"/>
  <c r="C116" i="11"/>
  <c r="B116" i="11"/>
  <c r="D115" i="11"/>
  <c r="C115" i="11"/>
  <c r="D114" i="11"/>
  <c r="C114" i="11"/>
  <c r="D112" i="11"/>
  <c r="C112" i="11"/>
  <c r="B139" i="3"/>
  <c r="B126" i="11"/>
  <c r="E106" i="11"/>
  <c r="E105" i="11"/>
  <c r="G15" i="12" s="1"/>
  <c r="F104" i="11"/>
  <c r="D99" i="11"/>
  <c r="D98" i="11"/>
  <c r="D97" i="11"/>
  <c r="D96" i="11"/>
  <c r="D91" i="11"/>
  <c r="D90" i="11"/>
  <c r="D65" i="11"/>
  <c r="D64" i="11"/>
  <c r="D63" i="11"/>
  <c r="D62" i="11"/>
  <c r="G13" i="12" l="1"/>
  <c r="G10" i="12"/>
  <c r="B118" i="11"/>
  <c r="G12" i="12"/>
  <c r="B119" i="11"/>
  <c r="B115" i="11"/>
  <c r="E115" i="11" s="1"/>
  <c r="B120" i="11"/>
  <c r="E118" i="11"/>
  <c r="E116" i="11"/>
  <c r="E117" i="11"/>
  <c r="C122" i="11"/>
  <c r="D122" i="11"/>
  <c r="E119" i="11" l="1"/>
  <c r="E120" i="11"/>
  <c r="D52" i="11"/>
  <c r="D55" i="11"/>
  <c r="D54" i="11"/>
  <c r="D53" i="11"/>
  <c r="G9" i="12" l="1"/>
  <c r="G14" i="12" s="1"/>
  <c r="G16" i="12" s="1"/>
  <c r="B114" i="11"/>
  <c r="B112" i="11"/>
  <c r="E112" i="11" l="1"/>
  <c r="E114" i="11"/>
  <c r="B122" i="11"/>
  <c r="C14" i="12" l="1"/>
  <c r="C16" i="12" s="1"/>
  <c r="E113" i="11"/>
  <c r="D123" i="11"/>
  <c r="C123" i="11"/>
  <c r="E95" i="3" l="1"/>
  <c r="F18" i="5"/>
  <c r="E132" i="3" l="1"/>
  <c r="D133" i="3"/>
  <c r="C133" i="3"/>
  <c r="D131" i="3"/>
  <c r="C131" i="3"/>
  <c r="B131" i="3"/>
  <c r="D130" i="3"/>
  <c r="C130" i="3"/>
  <c r="D129" i="3"/>
  <c r="C129" i="3"/>
  <c r="D128" i="3"/>
  <c r="C128" i="3"/>
  <c r="D127" i="3"/>
  <c r="C127" i="3"/>
  <c r="D126" i="3"/>
  <c r="C126" i="3"/>
  <c r="E57" i="3"/>
  <c r="E58" i="3"/>
  <c r="D125" i="3"/>
  <c r="C125" i="3"/>
  <c r="D124" i="3"/>
  <c r="C124" i="3"/>
  <c r="D123" i="3"/>
  <c r="C123" i="3"/>
  <c r="E116" i="3"/>
  <c r="E117" i="3"/>
  <c r="E105" i="3"/>
  <c r="E104" i="3"/>
  <c r="E103" i="3"/>
  <c r="E102" i="3"/>
  <c r="F115" i="3"/>
  <c r="E96" i="3"/>
  <c r="E94" i="3"/>
  <c r="E93" i="3"/>
  <c r="E87" i="3"/>
  <c r="E86" i="3"/>
  <c r="E85" i="3"/>
  <c r="E84" i="3"/>
  <c r="E69" i="3"/>
  <c r="E68" i="3"/>
  <c r="E67" i="3"/>
  <c r="E66" i="3"/>
  <c r="D12" i="5" s="1"/>
  <c r="E60" i="3"/>
  <c r="E59" i="3"/>
  <c r="E51" i="3"/>
  <c r="E50" i="3"/>
  <c r="E49" i="3"/>
  <c r="E42" i="3"/>
  <c r="B123" i="3" s="1"/>
  <c r="E121" i="3" l="1"/>
  <c r="E131" i="3"/>
  <c r="F12" i="5"/>
  <c r="F7" i="5"/>
  <c r="D7" i="5"/>
  <c r="F6" i="5"/>
  <c r="E123" i="3"/>
  <c r="D8" i="5"/>
  <c r="F8" i="5"/>
  <c r="D9" i="5"/>
  <c r="F9" i="5"/>
  <c r="D11" i="5"/>
  <c r="F11" i="5"/>
  <c r="F14" i="5"/>
  <c r="D14" i="5"/>
  <c r="F13" i="5"/>
  <c r="F16" i="5"/>
  <c r="D16" i="5"/>
  <c r="D135" i="3"/>
  <c r="B129" i="3"/>
  <c r="D15" i="5"/>
  <c r="F15" i="5"/>
  <c r="C135" i="3"/>
  <c r="B133" i="3"/>
  <c r="E133" i="3" s="1"/>
  <c r="B128" i="3"/>
  <c r="E128" i="3" s="1"/>
  <c r="B130" i="3"/>
  <c r="E130" i="3" s="1"/>
  <c r="B124" i="3"/>
  <c r="E124" i="3" s="1"/>
  <c r="B125" i="3"/>
  <c r="E125" i="3" s="1"/>
  <c r="B127" i="3"/>
  <c r="E127" i="3" s="1"/>
  <c r="B126" i="3"/>
  <c r="E126" i="3" s="1"/>
  <c r="E122" i="3"/>
  <c r="D17" i="5" l="1"/>
  <c r="D19" i="5" s="1"/>
  <c r="D21" i="5" s="1"/>
  <c r="F17" i="5"/>
  <c r="F19" i="5" s="1"/>
  <c r="F21" i="5" s="1"/>
  <c r="A132" i="3"/>
  <c r="E129" i="3"/>
  <c r="F23" i="5"/>
  <c r="B135" i="3"/>
  <c r="D136" i="3" s="1"/>
  <c r="C136" i="3" l="1"/>
  <c r="E136" i="3" s="1"/>
  <c r="D2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Csaposs, Henry Euclid</author>
  </authors>
  <commentList>
    <comment ref="B16" authorId="0" shapeId="0" xr:uid="{F9A35E91-4150-4542-927D-E0B038BBADB5}">
      <text>
        <r>
          <rPr>
            <sz val="9"/>
            <color indexed="18"/>
            <rFont val="Arial"/>
            <family val="2"/>
          </rPr>
          <t>Note: This row includes Indirect Costs.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Csaposs, Henry Euclid</author>
  </authors>
  <commentList>
    <comment ref="A11" authorId="0" shapeId="0" xr:uid="{D3C4567E-E756-42CE-B6C6-254F0155085F}">
      <text>
        <r>
          <rPr>
            <sz val="9"/>
            <color indexed="18"/>
            <rFont val="Arial"/>
            <family val="2"/>
          </rPr>
          <t>Note: This row includes costs for Subrecipients and Contractors.</t>
        </r>
      </text>
    </comment>
  </commentList>
</comments>
</file>

<file path=xl/sharedStrings.xml><?xml version="1.0" encoding="utf-8"?>
<sst xmlns="http://schemas.openxmlformats.org/spreadsheetml/2006/main" count="502" uniqueCount="239">
  <si>
    <t xml:space="preserve">  Detailed Budget for LWCF Grants</t>
  </si>
  <si>
    <t xml:space="preserve"> Note to Recipients: This is a sample budget template - it is not a required form.  You may use this format, modify it, or use a different format. However, the same level of detail and justification is required regardless of format.												</t>
  </si>
  <si>
    <t>Getting Started</t>
  </si>
  <si>
    <r>
      <t xml:space="preserve">How to complete this detailed budget
</t>
    </r>
    <r>
      <rPr>
        <sz val="11"/>
        <color rgb="FF000000"/>
        <rFont val="Aptos Narrow"/>
        <family val="2"/>
        <scheme val="minor"/>
      </rPr>
      <t>1. Select the appropriate worksheet for your project. For projects that acquire land and/or develop park facilities, complete the "Park Development &amp; Acquisition" worksheet. For planning or administrative grants, use the "Planning or Admin" worksheet.
2. Complete the worksheet by filling in the cells shaded in light blue. Don't edit cells with a white background - these contain instructions, examples, and automatic calculations. Insert additional shaded rows in any section as needed. 
3. Add your costs to the appropriate section of the budget. For further guidance, see the instructions below and on the budget worksheet.
4. The SF-424C and SF-424A sheets will automatically populate based on your entries. You can print or export these forms for your reference.
5. This budget should reflect your best estimate of project costs. If the project's actual costs will exceed or differ significantly from your estimate, please contact your Program Officer.</t>
    </r>
    <r>
      <rPr>
        <b/>
        <sz val="11"/>
        <color rgb="FF000000"/>
        <rFont val="Aptos Narrow"/>
        <family val="2"/>
        <scheme val="minor"/>
      </rPr>
      <t xml:space="preserve"> </t>
    </r>
    <r>
      <rPr>
        <sz val="11"/>
        <color rgb="FF000000"/>
        <rFont val="Aptos Narrow"/>
        <family val="2"/>
        <scheme val="minor"/>
      </rPr>
      <t xml:space="preserve">Budget changes may require LWCF Program approval. </t>
    </r>
  </si>
  <si>
    <r>
      <t xml:space="preserve">How your budget will be evaluated
</t>
    </r>
    <r>
      <rPr>
        <sz val="11"/>
        <color rgb="FF000000"/>
        <rFont val="Aptos Narrow"/>
        <family val="2"/>
        <scheme val="minor"/>
      </rPr>
      <t xml:space="preserve">The LWCF Program will evaluate your budget to ensure the proposed scope of work elements conform to federal requirements, as defined in 2 CFR 200 and the LWCF Manual. In particular, NPS staff will ensure that costs are: 
     • </t>
    </r>
    <r>
      <rPr>
        <b/>
        <sz val="11"/>
        <color rgb="FF000000"/>
        <rFont val="Aptos Narrow"/>
        <family val="2"/>
        <scheme val="minor"/>
      </rPr>
      <t xml:space="preserve">Allowable </t>
    </r>
    <r>
      <rPr>
        <sz val="11"/>
        <color rgb="FF000000"/>
        <rFont val="Aptos Narrow"/>
        <family val="2"/>
        <scheme val="minor"/>
      </rPr>
      <t xml:space="preserve">- necessary and reasonable for the performance of the federal award, and consistent with regulation/policy.
     • </t>
    </r>
    <r>
      <rPr>
        <b/>
        <sz val="11"/>
        <color rgb="FF000000"/>
        <rFont val="Aptos Narrow"/>
        <family val="2"/>
        <scheme val="minor"/>
      </rPr>
      <t xml:space="preserve">Allocable </t>
    </r>
    <r>
      <rPr>
        <sz val="11"/>
        <color rgb="FF000000"/>
        <rFont val="Aptos Narrow"/>
        <family val="2"/>
        <scheme val="minor"/>
      </rPr>
      <t xml:space="preserve">- incurred specifically for the federal award and not for items that do not directly support the approved scope of work.
     • </t>
    </r>
    <r>
      <rPr>
        <b/>
        <sz val="11"/>
        <color rgb="FF000000"/>
        <rFont val="Aptos Narrow"/>
        <family val="2"/>
        <scheme val="minor"/>
      </rPr>
      <t xml:space="preserve">Reasonable </t>
    </r>
    <r>
      <rPr>
        <sz val="11"/>
        <color rgb="FF000000"/>
        <rFont val="Aptos Narrow"/>
        <family val="2"/>
        <scheme val="minor"/>
      </rPr>
      <t xml:space="preserve">- meets the "prudent person" standard for estimated costs at a market rate.
</t>
    </r>
    <r>
      <rPr>
        <b/>
        <sz val="11"/>
        <color rgb="FF000000"/>
        <rFont val="Aptos Narrow"/>
        <family val="2"/>
        <scheme val="minor"/>
      </rPr>
      <t xml:space="preserve">     • Eligible</t>
    </r>
    <r>
      <rPr>
        <sz val="11"/>
        <color rgb="FF000000"/>
        <rFont val="Aptos Narrow"/>
        <family val="2"/>
        <scheme val="minor"/>
      </rPr>
      <t xml:space="preserve"> for funding per the LWCF Manual.
</t>
    </r>
    <r>
      <rPr>
        <b/>
        <sz val="11"/>
        <color rgb="FF000000"/>
        <rFont val="Aptos Narrow"/>
        <family val="2"/>
        <scheme val="minor"/>
      </rPr>
      <t xml:space="preserve">     • Correctly Calculated </t>
    </r>
    <r>
      <rPr>
        <sz val="11"/>
        <color rgb="FF000000"/>
        <rFont val="Aptos Narrow"/>
        <family val="2"/>
        <scheme val="minor"/>
      </rPr>
      <t>- the numbers add up.
Your budget must provide enough detail to show that the proposed elements meet these requirements. In some cases, the LWCF Program  may require additional information and justification for proposed costs.</t>
    </r>
  </si>
  <si>
    <r>
      <t xml:space="preserve">Column Definitions
</t>
    </r>
    <r>
      <rPr>
        <sz val="11"/>
        <color rgb="FF000000"/>
        <rFont val="Aptos Narrow"/>
        <family val="2"/>
        <scheme val="minor"/>
      </rPr>
      <t xml:space="preserve">     • Scope of Work Elements: Include the work items, deliverables, and actions to be performed in this grant project.
     • Number of Units: Include the quantity for each scope of work element. For elements that have no quantity, enter "1."
     • Unit type: Specify the type of unit. For example, "square feet" or "hours." 
     • Cost Per Unit:  Indicate the cost of each individual unit.
     • Total Line Cost: this column calculates automatically (it equals the number of units multiplied by cost per unit).
     • Federal Share: amount of federal funding requested for this line.
     • Non-Federal Share: amount of non-federal funding to be spent on this line. Note: the sum of the Federal Share and Non-Federal Share must equal the total line cost.
</t>
    </r>
    <r>
      <rPr>
        <b/>
        <sz val="11"/>
        <color rgb="FF000000"/>
        <rFont val="Aptos Narrow"/>
        <family val="2"/>
        <scheme val="minor"/>
      </rPr>
      <t xml:space="preserve">     • </t>
    </r>
    <r>
      <rPr>
        <sz val="11"/>
        <color rgb="FF000000"/>
        <rFont val="Aptos Narrow"/>
        <family val="2"/>
        <scheme val="minor"/>
      </rPr>
      <t>Pre-Award Cost: enter the portion of costs for this line that will be incurred prior to the grant start date, if any. See information on pre-award costs below.
     • Item will be performed by: Indicate if the Recipient, Subrecipient, or a contractor/vendor will be responsible for carrying out the scope of work element.
     • Basis of cost: briefly explain how each cost was estimated.
     • Purpose: explain how this element will advance the objectives of the grant.
     • As needed, provide additional details and justification: briefly explain how the scope of work element supports the goals and objectives of the grant project, if necessary.</t>
    </r>
  </si>
  <si>
    <t>Frequently Asked Questions</t>
  </si>
  <si>
    <t>How much detail do I need to include on my budget?</t>
  </si>
  <si>
    <t xml:space="preserve">Include enough detail to show that your proposed scope of work elements meet federal requirements (see "How your budget will be evaluated" above). List specific work items and deliverables. It isn't necessary to include details on construction supplies or raw materials, like lumber, fasteners, or concrete. </t>
  </si>
  <si>
    <t>What are pre-award costs?</t>
  </si>
  <si>
    <t>Pre-award costs are incurred before the start date of the Federal Award. To be allowable, pre-award costs must be made in anticipation of the federal award, be necessary for efficient and timely performance of the grant project, and meet all other federal requirements. For the LWCF Program, pre-award costs are often related to engineering and design, environmental compliance, and planning. Construction and other ground-disturbing activities cannot occur until the NPS has completed environmental reviews.
On this budget, please indicate what amount of each line item is requested as a pre-award cost.</t>
  </si>
  <si>
    <t>What is the Non-Federal Share?</t>
  </si>
  <si>
    <r>
      <t xml:space="preserve">The Non-Federal Share is the portion of project costs not funded by the NPS. It encompasses all contributions to the project incurred and paid for during the project. This includes </t>
    </r>
    <r>
      <rPr>
        <b/>
        <sz val="11"/>
        <color theme="1"/>
        <rFont val="Aptos Narrow"/>
        <family val="2"/>
        <scheme val="minor"/>
      </rPr>
      <t>Cost Share</t>
    </r>
    <r>
      <rPr>
        <sz val="11"/>
        <color theme="1"/>
        <rFont val="Aptos Narrow"/>
        <family val="2"/>
        <scheme val="minor"/>
      </rPr>
      <t xml:space="preserve"> payments for personnel, supplies, equipment, activities and items necessary for the project. </t>
    </r>
    <r>
      <rPr>
        <b/>
        <sz val="11"/>
        <color theme="1"/>
        <rFont val="Aptos Narrow"/>
        <family val="2"/>
        <scheme val="minor"/>
      </rPr>
      <t xml:space="preserve">In-kind Cost Share </t>
    </r>
    <r>
      <rPr>
        <sz val="11"/>
        <color theme="1"/>
        <rFont val="Aptos Narrow"/>
        <family val="2"/>
        <scheme val="minor"/>
      </rPr>
      <t>is donated items or services that are necessary to the performance of the project and do not involve a payment/reimbursement. This includes volunteer personnel hours, donated existing equipment, donated existing supplies, etc. The market value and calculations for all in-kind cost share items must be justified and explained.  
Generally, other federal funds cannot be used for the non-federal share. There are some exceptions - you must provide documentation.</t>
    </r>
  </si>
  <si>
    <t>What are contingency costs?</t>
  </si>
  <si>
    <t xml:space="preserve">Contingency costs are an estimate included in a budget to cover unexpected costs that may arise during large projects. These costs are based on events or conditions that can't be predicted exactly when the budget is made, but are likely to happen and increase the project cost.
Contingency costs may be included in the detailed budget. The contingency amounts must be estimated using broadly-accepted cost estimating methodologies. Estimates cannot be based on unforeseen risks, extraordinary events, or major project scope changes that may occur in the future. For more information on contingency costs, please refer to 2 CFR 200.433. </t>
  </si>
  <si>
    <t>What are the definitions of recipient, subrecipient, and contractor/vendor?</t>
  </si>
  <si>
    <r>
      <t xml:space="preserve">    • A </t>
    </r>
    <r>
      <rPr>
        <b/>
        <sz val="11"/>
        <color theme="1"/>
        <rFont val="Aptos Narrow"/>
        <family val="2"/>
        <scheme val="minor"/>
      </rPr>
      <t>Recipient</t>
    </r>
    <r>
      <rPr>
        <sz val="11"/>
        <color theme="1"/>
        <rFont val="Aptos Narrow"/>
        <family val="2"/>
        <scheme val="minor"/>
      </rPr>
      <t xml:space="preserve"> receives a Federal award directly from a Federal agency to carry out an activity under a Federal program.
    • A </t>
    </r>
    <r>
      <rPr>
        <b/>
        <sz val="11"/>
        <color theme="1"/>
        <rFont val="Aptos Narrow"/>
        <family val="2"/>
        <scheme val="minor"/>
      </rPr>
      <t>Subrecipient</t>
    </r>
    <r>
      <rPr>
        <sz val="11"/>
        <color theme="1"/>
        <rFont val="Aptos Narrow"/>
        <family val="2"/>
        <scheme val="minor"/>
      </rPr>
      <t xml:space="preserve"> receives a subaward from a Recipient to carry out part of a Federal award.
    • A </t>
    </r>
    <r>
      <rPr>
        <b/>
        <sz val="11"/>
        <color theme="1"/>
        <rFont val="Aptos Narrow"/>
        <family val="2"/>
        <scheme val="minor"/>
      </rPr>
      <t>Contractor (or Vendor)</t>
    </r>
    <r>
      <rPr>
        <sz val="11"/>
        <color theme="1"/>
        <rFont val="Aptos Narrow"/>
        <family val="2"/>
        <scheme val="minor"/>
      </rPr>
      <t xml:space="preserve"> has a contract to provide goods and/or services to a Recipient or Subrecipient. 
See 2 CFR 200.331 for regulations regarding subrecipient and contractor determinations.</t>
    </r>
  </si>
  <si>
    <t>Detailed Budget for Park Development and/or Acquisition Project</t>
  </si>
  <si>
    <t>Project Details</t>
  </si>
  <si>
    <t>Project Title</t>
  </si>
  <si>
    <t>LWCF Legacy Number</t>
  </si>
  <si>
    <t>Recipient Name</t>
  </si>
  <si>
    <r>
      <t xml:space="preserve">Subrecipient Name </t>
    </r>
    <r>
      <rPr>
        <i/>
        <sz val="11"/>
        <color theme="1"/>
        <rFont val="Aptos Narrow"/>
        <family val="2"/>
        <scheme val="minor"/>
      </rPr>
      <t>(Enter N/A if no subrecipient)</t>
    </r>
  </si>
  <si>
    <t>Start Date of Pre-Award Costs</t>
  </si>
  <si>
    <t>If this project includes pre-award costs, enter the first date that these costs were incurred.</t>
  </si>
  <si>
    <t>Source(s) of Non-Federal Share</t>
  </si>
  <si>
    <r>
      <rPr>
        <sz val="11"/>
        <color rgb="FF000000"/>
        <rFont val="Aptos Narrow"/>
        <scheme val="minor"/>
      </rPr>
      <t xml:space="preserve">Please describe the source of match contributions.
</t>
    </r>
    <r>
      <rPr>
        <i/>
        <sz val="11"/>
        <color rgb="FF000000"/>
        <rFont val="Aptos Narrow"/>
        <scheme val="minor"/>
      </rPr>
      <t>Example: City general fund, state bond, private donation</t>
    </r>
  </si>
  <si>
    <t>Cost Methodology</t>
  </si>
  <si>
    <r>
      <t xml:space="preserve">To show that this budget is reasonable, please explain who estimated the costs in this budget and what methods they used.
</t>
    </r>
    <r>
      <rPr>
        <i/>
        <sz val="11"/>
        <color theme="1"/>
        <rFont val="Aptos Narrow"/>
        <family val="2"/>
        <scheme val="minor"/>
      </rPr>
      <t>Example: The cost estimates were made by the subrecipient's city engineer. The engineer used detailed project quantities, historical cost data, and market research to create the estimates.</t>
    </r>
  </si>
  <si>
    <t>Administrative and Legal Expenses</t>
  </si>
  <si>
    <t>Administrative expenses, court costs, and/or other related 
expenses directly associated with the project.</t>
  </si>
  <si>
    <t>Scope of Work Element</t>
  </si>
  <si>
    <t>Number of Units</t>
  </si>
  <si>
    <t>Unit Type</t>
  </si>
  <si>
    <t>Cost Per Unit</t>
  </si>
  <si>
    <t>Total Line Cost</t>
  </si>
  <si>
    <t>Federal Share</t>
  </si>
  <si>
    <t>Non-Federal Share</t>
  </si>
  <si>
    <t>Pre-Award Costs</t>
  </si>
  <si>
    <t>Item will be performed by</t>
  </si>
  <si>
    <t>As needed: provide additional details and justification</t>
  </si>
  <si>
    <t>Example: Legal Counsel</t>
  </si>
  <si>
    <t>hours</t>
  </si>
  <si>
    <t>Subrecipient</t>
  </si>
  <si>
    <t>Finalize lease agreement with Sanitation District</t>
  </si>
  <si>
    <t xml:space="preserve">Acquisition: Land, structures, rights-of-way, etc.  </t>
  </si>
  <si>
    <t>Includes land, structures, rights- of-way, etc. acquired as part of this project. Include the parcel identifier and acres.</t>
  </si>
  <si>
    <t>Parcel Identifier</t>
  </si>
  <si>
    <t>Number of Acres</t>
  </si>
  <si>
    <t>Parcel Cost</t>
  </si>
  <si>
    <t>Land acquired by</t>
  </si>
  <si>
    <t>Example: Parcel 971-2-8723</t>
  </si>
  <si>
    <t>Acres</t>
  </si>
  <si>
    <t>Land to be acquired for outdoor recreation</t>
  </si>
  <si>
    <t>Acquistion: Relocation Payments</t>
  </si>
  <si>
    <t>Very uncommon for LWCF Program. Cost of relocation expenses and payments for persons displaced by land acquisition.</t>
  </si>
  <si>
    <t>Payments made by</t>
  </si>
  <si>
    <t>Architectural &amp; Engineering Fees</t>
  </si>
  <si>
    <t>Professional services of an architectural or 
engineering nature. Includes studies, investigations, 
surveying and mapping, tests, evaluations, 
consultations, comprehensive planning, 
program management, conceptual designs, 
plans and specifications,
etc.</t>
  </si>
  <si>
    <t>Example: Engineering design</t>
  </si>
  <si>
    <t>Contractor</t>
  </si>
  <si>
    <t>Engineering design for parking lot drainage</t>
  </si>
  <si>
    <t>Project Inspection Fees</t>
  </si>
  <si>
    <t>Project inspection fees, including municipal inspection fees, and other required professional or inspection fees.</t>
  </si>
  <si>
    <t>Example: Fire safety inspection</t>
  </si>
  <si>
    <t>inspection</t>
  </si>
  <si>
    <t>Required by local ordinance to open park facilities</t>
  </si>
  <si>
    <t>Site Work</t>
  </si>
  <si>
    <t xml:space="preserve">Mobilization, grading, etc.		</t>
  </si>
  <si>
    <t>Example: Clear and grub site</t>
  </si>
  <si>
    <t>square feet</t>
  </si>
  <si>
    <t>Necessary to prepare site for construction</t>
  </si>
  <si>
    <t>Demolition and Removal</t>
  </si>
  <si>
    <t>Includes the dismantling, demolition, or removal of buildings, structures, and other improvements.</t>
  </si>
  <si>
    <t>Example: Remove existing playground area</t>
  </si>
  <si>
    <t>Construction</t>
  </si>
  <si>
    <t>Creation of facilities, including renovations, buildings, 
installation of equipment, landscaping, associated roads, parking, environmental mitigation, utilities, etc. Most LWCF park development costs fall into this category.</t>
  </si>
  <si>
    <t>Example: Construct Pickleball Courts</t>
  </si>
  <si>
    <t>courts</t>
  </si>
  <si>
    <t>Full construction of 5 courts</t>
  </si>
  <si>
    <t>Equipment</t>
  </si>
  <si>
    <t>Uncommon for LWCF projects. Generally defined as portable items with an acquisition cost greater than $10,000 and a useful life of more than one year. Does not include items permanently affixed in construction process. Equipment is subject to requirements at 2 CFR 200.313.</t>
  </si>
  <si>
    <t>Example: Portable bleachers</t>
  </si>
  <si>
    <t>bleacher set</t>
  </si>
  <si>
    <t>Provide seating area for park facilities</t>
  </si>
  <si>
    <t>Miscellaneous</t>
  </si>
  <si>
    <t>Work items that do not fall within any other category.</t>
  </si>
  <si>
    <t>Example: Temporary security fencing</t>
  </si>
  <si>
    <t>panels</t>
  </si>
  <si>
    <t>Contingency Costs</t>
  </si>
  <si>
    <r>
      <t xml:space="preserve">Contingency costs are an estimate included to cover unexpected costs that may arise during large projects. These costs are based on events or conditions that can't be predicted exactly when the budget is made, but are likely to happen and increase the project cost. Contingency amounts for major project scope changes, unforeseen risks, or extraordinary events </t>
    </r>
    <r>
      <rPr>
        <u/>
        <sz val="11"/>
        <color theme="1"/>
        <rFont val="Aptos Narrow"/>
        <family val="2"/>
        <scheme val="minor"/>
      </rPr>
      <t>cannot</t>
    </r>
    <r>
      <rPr>
        <sz val="11"/>
        <color theme="1"/>
        <rFont val="Aptos Narrow"/>
        <family val="2"/>
        <scheme val="minor"/>
      </rPr>
      <t xml:space="preserve"> be included. See 2 CFR 200.433 for full requirements. </t>
    </r>
  </si>
  <si>
    <t>Total Contingency Amount</t>
  </si>
  <si>
    <t>REQUIRED: explain how this cost was estimated using broadly-accepted cost estimating methodologies.</t>
  </si>
  <si>
    <t>Indirect Costs</t>
  </si>
  <si>
    <t>Indirect Costs charged in accordance with a Negotiated Indirect Cost Rate Agreement (NICRA). Please provide a copy of your current NICRA if requesting indirect costs.</t>
  </si>
  <si>
    <t>Base Description</t>
  </si>
  <si>
    <t>Base Total</t>
  </si>
  <si>
    <t>Rate Type</t>
  </si>
  <si>
    <t>Rate</t>
  </si>
  <si>
    <t>Charged by</t>
  </si>
  <si>
    <t>Example: Total Direct Costs</t>
  </si>
  <si>
    <t>Indirect Rate</t>
  </si>
  <si>
    <t>Recipient</t>
  </si>
  <si>
    <t>Summary</t>
  </si>
  <si>
    <t>Cost Classification</t>
  </si>
  <si>
    <t>Total Cost</t>
  </si>
  <si>
    <t>Administration 
and legal 
expenses</t>
  </si>
  <si>
    <t>Acquisition Only: Land, structures, rights-of-way, etc.</t>
  </si>
  <si>
    <t>Acquistion Only: Relocation expenses and payments</t>
  </si>
  <si>
    <t>Architectural and engineering fees</t>
  </si>
  <si>
    <t>Project inspection fees</t>
  </si>
  <si>
    <t>Site work</t>
  </si>
  <si>
    <t>Total Project Cost</t>
  </si>
  <si>
    <t xml:space="preserve">      Percent of Total Cost</t>
  </si>
  <si>
    <t>Pre-Award Costs Amount</t>
  </si>
  <si>
    <t xml:space="preserve">     Start Date </t>
  </si>
  <si>
    <t>Note: this form populates automatically based on information entered in the "Park Development &amp; Acquisition" worksheet. This form can be printed or exported to PDF.</t>
  </si>
  <si>
    <t>OMB Approval No. 0348-0041</t>
  </si>
  <si>
    <t>BUDGET INFORMATION - Construction Programs</t>
  </si>
  <si>
    <t>NOTE:  Certain Federal assistance programs require additional computations to arrive at the Federal share of project costs eligible for participation.  If such is the case, you will be notified.</t>
  </si>
  <si>
    <t>COST CLASSIFICATION</t>
  </si>
  <si>
    <t>a.  Total Cost</t>
  </si>
  <si>
    <t>b. Costs Not Allowable for Participation</t>
  </si>
  <si>
    <t>c. Total Allowable Costs (Column A - B)</t>
  </si>
  <si>
    <t>1.</t>
  </si>
  <si>
    <t>Administrative and legal expenses</t>
  </si>
  <si>
    <t>2.</t>
  </si>
  <si>
    <t>Land, structures, rights-of-way, appraisals, etc.</t>
  </si>
  <si>
    <t>3.</t>
  </si>
  <si>
    <t>Relocation expenses and payments</t>
  </si>
  <si>
    <t>4.</t>
  </si>
  <si>
    <t>5.</t>
  </si>
  <si>
    <t>Other architectural and engineering fees</t>
  </si>
  <si>
    <t>6.</t>
  </si>
  <si>
    <t>7.</t>
  </si>
  <si>
    <t>8.</t>
  </si>
  <si>
    <t>Demolition and removal</t>
  </si>
  <si>
    <t>9.</t>
  </si>
  <si>
    <t>10.</t>
  </si>
  <si>
    <t>11.</t>
  </si>
  <si>
    <t>12.</t>
  </si>
  <si>
    <r>
      <t xml:space="preserve">SUBTOTAL </t>
    </r>
    <r>
      <rPr>
        <i/>
        <sz val="9"/>
        <rFont val="Arial"/>
        <family val="2"/>
      </rPr>
      <t>(sum of lines 1-11)</t>
    </r>
  </si>
  <si>
    <t>13.</t>
  </si>
  <si>
    <t xml:space="preserve">Contingencies  </t>
  </si>
  <si>
    <t>14.</t>
  </si>
  <si>
    <t>SUBTOTAL</t>
  </si>
  <si>
    <t>15.</t>
  </si>
  <si>
    <t>Project (program) income</t>
  </si>
  <si>
    <t>16.</t>
  </si>
  <si>
    <r>
      <t xml:space="preserve">TOTAL PROJECT COSTS </t>
    </r>
    <r>
      <rPr>
        <i/>
        <sz val="9"/>
        <rFont val="Arial"/>
        <family val="2"/>
      </rPr>
      <t xml:space="preserve"> (subtract #15 from #14)</t>
    </r>
  </si>
  <si>
    <t>FEDERAL FUNDING</t>
  </si>
  <si>
    <t>17.</t>
  </si>
  <si>
    <t xml:space="preserve">Federal assistance requested, cacluate as follows:      Enter eligible costs from line 16c </t>
  </si>
  <si>
    <t>(Consult Federal agency for Federal percentage share.)</t>
  </si>
  <si>
    <t>Enter the resulting Federal share.</t>
  </si>
  <si>
    <t>Detailed Budget for Planning and Admin Grants</t>
  </si>
  <si>
    <t>Source of Non-Federal Share</t>
  </si>
  <si>
    <r>
      <t xml:space="preserve">Please describe the source of matching funds.
</t>
    </r>
    <r>
      <rPr>
        <i/>
        <sz val="11"/>
        <color theme="1"/>
        <rFont val="Aptos Narrow"/>
        <family val="2"/>
        <scheme val="minor"/>
      </rPr>
      <t>Example: City general fund, state bond, private donation</t>
    </r>
  </si>
  <si>
    <t>Personnel</t>
  </si>
  <si>
    <t>Personnel are staff employed by the Recipient. Enter all personnel by position title. Include the basis of rate (e.g. actual salary, state civil service rates, etc.). Personnel costs may only include time spent working directly on the project.</t>
  </si>
  <si>
    <t>Position Title</t>
  </si>
  <si>
    <t>Number of Employees</t>
  </si>
  <si>
    <t>Time (Hours or %)</t>
  </si>
  <si>
    <t>Rate (Hourly or Salary)</t>
  </si>
  <si>
    <t>Rate Basis</t>
  </si>
  <si>
    <t>Example: Grant Coordinator</t>
  </si>
  <si>
    <t>Actual Salary</t>
  </si>
  <si>
    <t>Fringe Benefits</t>
  </si>
  <si>
    <t>Complete the table below by position title. Fringe rates may not exceed what is currently provided by the organization. If a federally approved Fringe rate exists, provide the rate agreement with the application. See 2 CFR 200.431 for full requirements.</t>
  </si>
  <si>
    <t>Personnel Cost</t>
  </si>
  <si>
    <t>Travel</t>
  </si>
  <si>
    <t>All travel must be necessary for performance of project objectives. Travel costs must be consistent with the Recipient's written travel policy. In absence of a written travel policy, Recipients must follow General Services Administration (GSA) regulations.</t>
  </si>
  <si>
    <t>Trip To/From, Purpose</t>
  </si>
  <si>
    <t>Item</t>
  </si>
  <si>
    <t>Number of Travelers Claiming Expense</t>
  </si>
  <si>
    <t>Salem, OR to Bend, OR - conduct focus groups for SCORP development</t>
  </si>
  <si>
    <t>Hotel</t>
  </si>
  <si>
    <t>nights</t>
  </si>
  <si>
    <t>Meals &amp; Incidentals</t>
  </si>
  <si>
    <t>days</t>
  </si>
  <si>
    <t>Car Rental</t>
  </si>
  <si>
    <t>Equipment is generally defined as a portable item with an acquisition cost greater than $10,000 and a useful life of more than one year. Refer to the Supplies section for items of lesser value or useful life.</t>
  </si>
  <si>
    <t>Explain the purpose of each equipment item and the basis of cost (e.g. vendor quotes, catalog prices, prior purchases, etc.). Note that equipment is subject to reporting and disposition regulations in 2 CFR 200.313.</t>
  </si>
  <si>
    <t>Equipment Item</t>
  </si>
  <si>
    <t>Purpose</t>
  </si>
  <si>
    <t>Basis of Cost</t>
  </si>
  <si>
    <t>Example: Drone system</t>
  </si>
  <si>
    <t>For aerial stewardship inspections</t>
  </si>
  <si>
    <t>Vendor quote</t>
  </si>
  <si>
    <t>Supplies</t>
  </si>
  <si>
    <t>Supplies are generally items with an acquisition cost of $10,000 or less and a useful life of less than one year. Refer to the Equipment section for items of greater value or useful life.</t>
  </si>
  <si>
    <t>Explain the purpose of each supply item and the basis of cost (e.g. vendor quotes, catalog prices, prior purchases, etc.). See 2 CFR 200.314 for requirements for supplies.</t>
  </si>
  <si>
    <t>Supplies Item</t>
  </si>
  <si>
    <t>Example: SCORP Copies, Printed &amp; Bound</t>
  </si>
  <si>
    <t>Print SCORP document</t>
  </si>
  <si>
    <t>Subrecipients</t>
  </si>
  <si>
    <t>A sub-recipient (partner, sub-awardee) is an entity to which a subaward is made. See 2 CFR 200.331 for the full definition.</t>
  </si>
  <si>
    <t>Subrecipients have performance measured against whether the objectives of the grant project are met, are responsible for project-related decision-making, must adhere to the applicable grant program compliance requirements, and implement programs for a public purpose.</t>
  </si>
  <si>
    <t>Subrecipient Name</t>
  </si>
  <si>
    <t>Example: University of Oregon</t>
  </si>
  <si>
    <t>Partner to conduct research study on available recreation sites</t>
  </si>
  <si>
    <t>Personnel and supply costs</t>
  </si>
  <si>
    <t>Contractors</t>
  </si>
  <si>
    <t>A contractor (or vendor) is an entity contracted to provide goods and services. See 2 CFR 200.331 for the full definition.</t>
  </si>
  <si>
    <t>Contractors provide goods and services within normal business operations, and provide similar goods and services to many different purchasers. Contractors normally operate in a competitive environment.</t>
  </si>
  <si>
    <t>Contractor Name</t>
  </si>
  <si>
    <t xml:space="preserve">Example: Geographic Services Inc. </t>
  </si>
  <si>
    <t>Create a database of existing recreation sites</t>
  </si>
  <si>
    <t>Contractor bid</t>
  </si>
  <si>
    <t>Not typically part of LWCF Planning or Admin grants.</t>
  </si>
  <si>
    <t>Other Direct Costs</t>
  </si>
  <si>
    <t>Note:  This form populates automatically based on information entered in the "Planning &amp; Admin" worksheet. This form can be printed or exported to PDF.</t>
  </si>
  <si>
    <t>SECTION B - BUDGET CATEGORIES</t>
  </si>
  <si>
    <t>6. Object Class Categories</t>
  </si>
  <si>
    <t>GRANT PROGRAM, FUNCTION OR ACTIVITY</t>
  </si>
  <si>
    <t>Total</t>
  </si>
  <si>
    <t xml:space="preserve">    a. Personnel</t>
  </si>
  <si>
    <t xml:space="preserve">    b. Fringe Benefits</t>
  </si>
  <si>
    <t xml:space="preserve">    c. Travel</t>
  </si>
  <si>
    <t xml:space="preserve">    d. Equipment</t>
  </si>
  <si>
    <t xml:space="preserve">    e. Supplies</t>
  </si>
  <si>
    <t xml:space="preserve">    f. Contractual</t>
  </si>
  <si>
    <t xml:space="preserve">    g. Construction</t>
  </si>
  <si>
    <t xml:space="preserve">    h. Other</t>
  </si>
  <si>
    <t xml:space="preserve">    i. Total Direct Charges (sum of 6a-6h)</t>
  </si>
  <si>
    <t xml:space="preserve">    j. Indirect Charges</t>
  </si>
  <si>
    <t xml:space="preserve">    k. TOTALS (sum of 6i and 6j)</t>
  </si>
  <si>
    <t>7. Program Income</t>
  </si>
  <si>
    <t xml:space="preserve">             Authorized for Local Reproduction</t>
  </si>
  <si>
    <t>Standard Form 424A (Rev. 7- 97)</t>
  </si>
  <si>
    <t>Prescribed by OMB (Circular A -102) Page 1A</t>
  </si>
  <si>
    <t>Development &amp; Acquisition Totals</t>
  </si>
  <si>
    <t>RowID</t>
  </si>
  <si>
    <t>Category</t>
  </si>
  <si>
    <t>CategoryTotal</t>
  </si>
  <si>
    <t>Development &amp; Acquisition Other Data</t>
  </si>
  <si>
    <t>Contingency Methodology</t>
  </si>
  <si>
    <t>Planning &amp; Admin Totals</t>
  </si>
  <si>
    <t>Planning &amp; Admin Other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</si>
</sst>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s>
  <fonts count="35">
    <font>
      <sz val="11"/>
      <color theme="1"/>
      <name val="Aptos Narrow"/>
      <family val="2"/>
      <scheme val="minor"/>
    </font>
    <font>
      <b/>
      <sz val="11"/>
      <color theme="1"/>
      <name val="Aptos Narrow"/>
      <family val="2"/>
      <scheme val="minor"/>
    </font>
    <font>
      <b/>
      <sz val="14"/>
      <color theme="0"/>
      <name val="Aptos Narrow"/>
      <family val="2"/>
      <scheme val="minor"/>
    </font>
    <font>
      <i/>
      <sz val="11"/>
      <color theme="1"/>
      <name val="Aptos Narrow"/>
      <family val="2"/>
      <scheme val="minor"/>
    </font>
    <font>
      <u/>
      <sz val="11"/>
      <color theme="1"/>
      <name val="Aptos Narrow"/>
      <family val="2"/>
      <scheme val="minor"/>
    </font>
    <font>
      <b/>
      <sz val="14"/>
      <color theme="1"/>
      <name val="Aptos Narrow"/>
      <family val="2"/>
      <scheme val="minor"/>
    </font>
    <font>
      <sz val="11"/>
      <name val="Aptos Narrow"/>
      <family val="2"/>
      <scheme val="minor"/>
    </font>
    <font>
      <sz val="11"/>
      <color theme="1"/>
      <name val="Aptos Narrow"/>
      <family val="2"/>
      <scheme val="minor"/>
    </font>
    <font>
      <sz val="14"/>
      <color theme="1"/>
      <name val="Aptos Narrow"/>
      <family val="2"/>
      <scheme val="minor"/>
    </font>
    <font>
      <sz val="10"/>
      <name val="Geneva"/>
    </font>
    <font>
      <sz val="10"/>
      <name val="Arial"/>
      <family val="2"/>
    </font>
    <font>
      <sz val="8"/>
      <name val="Arial"/>
      <family val="2"/>
    </font>
    <font>
      <b/>
      <sz val="8"/>
      <name val="Arial"/>
      <family val="2"/>
    </font>
    <font>
      <b/>
      <sz val="14"/>
      <name val="Arial"/>
      <family val="2"/>
    </font>
    <font>
      <i/>
      <sz val="8"/>
      <name val="Arial"/>
      <family val="2"/>
    </font>
    <font>
      <sz val="14"/>
      <name val="Arial"/>
      <family val="2"/>
    </font>
    <font>
      <b/>
      <sz val="12"/>
      <name val="Arial"/>
      <family val="2"/>
    </font>
    <font>
      <sz val="9"/>
      <name val="Arial"/>
      <family val="2"/>
    </font>
    <font>
      <i/>
      <sz val="9"/>
      <name val="Arial"/>
      <family val="2"/>
    </font>
    <font>
      <b/>
      <sz val="11"/>
      <color rgb="FF000000"/>
      <name val="Aptos Narrow"/>
      <family val="2"/>
      <scheme val="minor"/>
    </font>
    <font>
      <sz val="11"/>
      <color rgb="FF000000"/>
      <name val="Aptos Narrow"/>
      <family val="2"/>
      <scheme val="minor"/>
    </font>
    <font>
      <sz val="10"/>
      <color rgb="FF000000"/>
      <name val="Times New Roman"/>
      <family val="1"/>
    </font>
    <font>
      <sz val="10"/>
      <color rgb="FF000000"/>
      <name val="Arial"/>
      <family val="2"/>
    </font>
    <font>
      <sz val="11"/>
      <color rgb="FF000000"/>
      <name val="Arial"/>
      <family val="2"/>
    </font>
    <font>
      <b/>
      <sz val="11"/>
      <color rgb="FF000000"/>
      <name val="Arial"/>
      <family val="2"/>
    </font>
    <font>
      <b/>
      <sz val="10"/>
      <color rgb="FF000000"/>
      <name val="Arial"/>
      <family val="2"/>
    </font>
    <font>
      <sz val="9"/>
      <color rgb="FF000000"/>
      <name val="Arial"/>
      <family val="2"/>
    </font>
    <font>
      <b/>
      <sz val="10"/>
      <color theme="3" tint="0.249977111117893"/>
      <name val="Arial"/>
      <family val="2"/>
    </font>
    <font>
      <b/>
      <sz val="16"/>
      <name val="Aptos Narrow"/>
      <family val="2"/>
      <scheme val="minor"/>
    </font>
    <font>
      <b/>
      <sz val="10"/>
      <color rgb="FF000099"/>
      <name val="Arial"/>
      <family val="2"/>
    </font>
    <font>
      <sz val="9"/>
      <color indexed="18"/>
      <name val="Arial"/>
      <family val="2"/>
    </font>
    <font>
      <sz val="11"/>
      <color theme="1"/>
      <name val="Arial"/>
      <family val="2"/>
    </font>
    <font>
      <sz val="11"/>
      <color rgb="FF000000"/>
      <name val="Aptos Narrow"/>
      <scheme val="minor"/>
    </font>
    <font>
      <i/>
      <sz val="11"/>
      <color rgb="FF000000"/>
      <name val="Aptos Narrow"/>
      <scheme val="minor"/>
    </font>
    <font>
      <sz val="11"/>
      <color theme="0"/>
      <name val="Aptos Narrow"/>
      <family val="2"/>
      <scheme val="minor"/>
    </font>
  </fonts>
  <fills count="6">
    <fill>
      <patternFill patternType="none"/>
    </fill>
    <fill>
      <patternFill patternType="gray125"/>
    </fill>
    <fill>
      <patternFill patternType="solid">
        <fgColor theme="3"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89999084444715716"/>
        <bgColor indexed="64"/>
      </patternFill>
    </fill>
  </fills>
  <borders count="44">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ck">
        <color theme="0" tint="-0.34998626667073579"/>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top/>
      <bottom style="thick">
        <color theme="0" tint="-0.34998626667073579"/>
      </bottom>
      <diagonal/>
    </border>
    <border>
      <left/>
      <right style="thick">
        <color theme="0" tint="-0.34998626667073579"/>
      </right>
      <top/>
      <bottom style="thick">
        <color theme="0" tint="-0.34998626667073579"/>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indexed="64"/>
      </right>
      <top/>
      <bottom/>
      <diagonal/>
    </border>
    <border>
      <left style="thin">
        <color theme="3" tint="0.89996032593768116"/>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3" tint="0.89996032593768116"/>
      </right>
      <top/>
      <bottom/>
      <diagonal/>
    </border>
    <border>
      <left style="double">
        <color indexed="64"/>
      </left>
      <right style="double">
        <color indexed="64"/>
      </right>
      <top/>
      <bottom style="double">
        <color indexed="64"/>
      </bottom>
      <diagonal/>
    </border>
    <border>
      <left style="thin">
        <color theme="1" tint="0.499984740745262"/>
      </left>
      <right style="thin">
        <color theme="1" tint="0.499984740745262"/>
      </right>
      <top style="thin">
        <color theme="1"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s>
  <cellStyleXfs count="9">
    <xf numFmtId="0" fontId="0" fillId="0" borderId="0"/>
    <xf numFmtId="9" fontId="7" fillId="0" borderId="0" applyFont="0" applyFill="0" applyBorder="0" applyAlignment="0" applyProtection="0"/>
    <xf numFmtId="0" fontId="9" fillId="0" borderId="0"/>
    <xf numFmtId="0" fontId="10" fillId="0" borderId="0"/>
    <xf numFmtId="44" fontId="10" fillId="0" borderId="0" applyFont="0" applyFill="0" applyBorder="0" applyAlignment="0" applyProtection="0"/>
    <xf numFmtId="9" fontId="10" fillId="0" borderId="0" applyFont="0" applyFill="0" applyBorder="0" applyAlignment="0" applyProtection="0"/>
    <xf numFmtId="0" fontId="10" fillId="0" borderId="0"/>
    <xf numFmtId="44" fontId="7" fillId="0" borderId="0" applyFont="0" applyFill="0" applyBorder="0" applyAlignment="0" applyProtection="0"/>
    <xf numFmtId="0" fontId="21" fillId="0" borderId="0"/>
  </cellStyleXfs>
  <cellXfs count="219">
    <xf numFmtId="0" fontId="0" fillId="0" borderId="0" xfId="0"/>
    <xf numFmtId="164" fontId="0" fillId="0" borderId="0" xfId="0" applyNumberFormat="1"/>
    <xf numFmtId="164" fontId="0" fillId="3" borderId="0" xfId="0" applyNumberFormat="1" applyFill="1"/>
    <xf numFmtId="0" fontId="1" fillId="0" borderId="0" xfId="0" applyFont="1"/>
    <xf numFmtId="0" fontId="1" fillId="0" borderId="5" xfId="0" applyFont="1" applyBorder="1"/>
    <xf numFmtId="0" fontId="8" fillId="0" borderId="0" xfId="0" applyFont="1"/>
    <xf numFmtId="8" fontId="3" fillId="0" borderId="0" xfId="0" applyNumberFormat="1" applyFont="1"/>
    <xf numFmtId="0" fontId="5" fillId="0" borderId="0" xfId="0" applyFont="1"/>
    <xf numFmtId="0" fontId="3" fillId="3" borderId="0" xfId="0" applyFont="1" applyFill="1"/>
    <xf numFmtId="164" fontId="3" fillId="3" borderId="0" xfId="0" applyNumberFormat="1" applyFont="1" applyFill="1"/>
    <xf numFmtId="8" fontId="3" fillId="3" borderId="0" xfId="0" applyNumberFormat="1" applyFont="1" applyFill="1"/>
    <xf numFmtId="0" fontId="3" fillId="0" borderId="0" xfId="0" applyFont="1"/>
    <xf numFmtId="0" fontId="3" fillId="3" borderId="0" xfId="0" applyFont="1" applyFill="1" applyAlignment="1">
      <alignment wrapText="1"/>
    </xf>
    <xf numFmtId="10" fontId="3" fillId="3" borderId="0" xfId="1" applyNumberFormat="1" applyFont="1" applyFill="1" applyBorder="1"/>
    <xf numFmtId="0" fontId="5" fillId="0" borderId="8" xfId="0" applyFont="1" applyBorder="1"/>
    <xf numFmtId="0" fontId="8" fillId="0" borderId="9" xfId="0" applyFont="1" applyBorder="1"/>
    <xf numFmtId="0" fontId="8" fillId="0" borderId="10" xfId="0" applyFont="1" applyBorder="1"/>
    <xf numFmtId="0" fontId="1" fillId="0" borderId="11" xfId="0" applyFont="1" applyBorder="1" applyAlignment="1">
      <alignment horizontal="left"/>
    </xf>
    <xf numFmtId="0" fontId="1" fillId="0" borderId="11" xfId="0" applyFont="1" applyBorder="1"/>
    <xf numFmtId="0" fontId="1" fillId="0" borderId="11" xfId="0" applyFont="1" applyBorder="1" applyAlignment="1">
      <alignment horizontal="left" wrapText="1"/>
    </xf>
    <xf numFmtId="0" fontId="0" fillId="0" borderId="11" xfId="0" applyBorder="1"/>
    <xf numFmtId="0" fontId="0" fillId="0" borderId="13" xfId="0" applyBorder="1" applyAlignment="1">
      <alignment wrapText="1"/>
    </xf>
    <xf numFmtId="0" fontId="10" fillId="0" borderId="0" xfId="2" applyFont="1"/>
    <xf numFmtId="5" fontId="10" fillId="0" borderId="2" xfId="2" applyNumberFormat="1" applyFont="1" applyBorder="1"/>
    <xf numFmtId="5" fontId="10" fillId="0" borderId="3" xfId="2" applyNumberFormat="1" applyFont="1" applyBorder="1"/>
    <xf numFmtId="5" fontId="10" fillId="0" borderId="0" xfId="2" applyNumberFormat="1" applyFont="1"/>
    <xf numFmtId="5" fontId="11" fillId="0" borderId="0" xfId="2" applyNumberFormat="1" applyFont="1" applyAlignment="1">
      <alignment horizontal="right" vertical="top"/>
    </xf>
    <xf numFmtId="5" fontId="11" fillId="0" borderId="0" xfId="2" applyNumberFormat="1" applyFont="1" applyAlignment="1">
      <alignment horizontal="right"/>
    </xf>
    <xf numFmtId="0" fontId="11" fillId="0" borderId="0" xfId="2" applyFont="1"/>
    <xf numFmtId="0" fontId="10" fillId="0" borderId="0" xfId="2" applyFont="1" applyAlignment="1">
      <alignment vertical="center"/>
    </xf>
    <xf numFmtId="5" fontId="10" fillId="3" borderId="0" xfId="2" applyNumberFormat="1" applyFont="1" applyFill="1"/>
    <xf numFmtId="0" fontId="10" fillId="3" borderId="0" xfId="2" applyFont="1" applyFill="1"/>
    <xf numFmtId="5" fontId="11" fillId="3" borderId="0" xfId="2" applyNumberFormat="1" applyFont="1" applyFill="1"/>
    <xf numFmtId="5" fontId="11" fillId="3" borderId="0" xfId="2" applyNumberFormat="1" applyFont="1" applyFill="1" applyAlignment="1">
      <alignment horizontal="right"/>
    </xf>
    <xf numFmtId="0" fontId="13" fillId="3" borderId="0" xfId="2" applyFont="1" applyFill="1" applyAlignment="1">
      <alignment horizontal="centerContinuous" vertical="center"/>
    </xf>
    <xf numFmtId="0" fontId="15" fillId="3" borderId="0" xfId="2" applyFont="1" applyFill="1" applyAlignment="1">
      <alignment horizontal="centerContinuous" vertical="center"/>
    </xf>
    <xf numFmtId="5" fontId="15" fillId="3" borderId="0" xfId="2" applyNumberFormat="1" applyFont="1" applyFill="1" applyAlignment="1">
      <alignment horizontal="centerContinuous" vertical="center"/>
    </xf>
    <xf numFmtId="0" fontId="10" fillId="3" borderId="0" xfId="2" applyFont="1" applyFill="1" applyAlignment="1">
      <alignment vertical="center"/>
    </xf>
    <xf numFmtId="0" fontId="14" fillId="3" borderId="3" xfId="2" applyFont="1" applyFill="1" applyBorder="1" applyAlignment="1">
      <alignment horizontal="centerContinuous"/>
    </xf>
    <xf numFmtId="0" fontId="10" fillId="3" borderId="3" xfId="2" applyFont="1" applyFill="1" applyBorder="1" applyAlignment="1">
      <alignment horizontal="centerContinuous"/>
    </xf>
    <xf numFmtId="5" fontId="10" fillId="3" borderId="3" xfId="2" applyNumberFormat="1" applyFont="1" applyFill="1" applyBorder="1" applyAlignment="1">
      <alignment horizontal="centerContinuous"/>
    </xf>
    <xf numFmtId="0" fontId="16" fillId="3" borderId="18" xfId="2" applyFont="1" applyFill="1" applyBorder="1" applyAlignment="1">
      <alignment horizontal="centerContinuous" vertical="center"/>
    </xf>
    <xf numFmtId="0" fontId="12" fillId="3" borderId="19" xfId="2" applyFont="1" applyFill="1" applyBorder="1" applyAlignment="1">
      <alignment horizontal="centerContinuous" vertical="center"/>
    </xf>
    <xf numFmtId="0" fontId="12" fillId="3" borderId="17" xfId="2" applyFont="1" applyFill="1" applyBorder="1" applyAlignment="1">
      <alignment horizontal="centerContinuous" vertical="center"/>
    </xf>
    <xf numFmtId="0" fontId="12" fillId="3" borderId="18" xfId="2" applyFont="1" applyFill="1" applyBorder="1" applyAlignment="1">
      <alignment horizontal="center" vertical="center"/>
    </xf>
    <xf numFmtId="0" fontId="12" fillId="3" borderId="6" xfId="2" applyFont="1" applyFill="1" applyBorder="1" applyAlignment="1">
      <alignment horizontal="center" vertical="center" wrapText="1"/>
    </xf>
    <xf numFmtId="0" fontId="12" fillId="3" borderId="17" xfId="2" applyFont="1" applyFill="1" applyBorder="1" applyAlignment="1">
      <alignment horizontal="center" vertical="center" wrapText="1"/>
    </xf>
    <xf numFmtId="5" fontId="12" fillId="3" borderId="2" xfId="2" quotePrefix="1" applyNumberFormat="1" applyFont="1" applyFill="1" applyBorder="1" applyAlignment="1">
      <alignment vertical="center"/>
    </xf>
    <xf numFmtId="49" fontId="17" fillId="3" borderId="3" xfId="2" applyNumberFormat="1" applyFont="1" applyFill="1" applyBorder="1" applyAlignment="1">
      <alignment vertical="center"/>
    </xf>
    <xf numFmtId="0" fontId="10" fillId="3" borderId="4" xfId="2" applyFont="1" applyFill="1" applyBorder="1"/>
    <xf numFmtId="7" fontId="10" fillId="3" borderId="15" xfId="2" applyNumberFormat="1" applyFont="1" applyFill="1" applyBorder="1"/>
    <xf numFmtId="5" fontId="17" fillId="3" borderId="3" xfId="2" applyNumberFormat="1" applyFont="1" applyFill="1" applyBorder="1" applyAlignment="1">
      <alignment vertical="center"/>
    </xf>
    <xf numFmtId="0" fontId="10" fillId="3" borderId="4" xfId="2" applyFont="1" applyFill="1" applyBorder="1" applyAlignment="1">
      <alignment vertical="center"/>
    </xf>
    <xf numFmtId="5" fontId="12" fillId="3" borderId="2" xfId="2" applyNumberFormat="1" applyFont="1" applyFill="1" applyBorder="1" applyAlignment="1">
      <alignment horizontal="centerContinuous" vertical="center"/>
    </xf>
    <xf numFmtId="5" fontId="10" fillId="3" borderId="4" xfId="2" applyNumberFormat="1" applyFont="1" applyFill="1" applyBorder="1" applyAlignment="1">
      <alignment horizontal="centerContinuous"/>
    </xf>
    <xf numFmtId="5" fontId="11" fillId="3" borderId="1" xfId="2" quotePrefix="1" applyNumberFormat="1" applyFont="1" applyFill="1" applyBorder="1"/>
    <xf numFmtId="10" fontId="10" fillId="3" borderId="0" xfId="2" applyNumberFormat="1" applyFont="1" applyFill="1"/>
    <xf numFmtId="5" fontId="10" fillId="3" borderId="16" xfId="2" applyNumberFormat="1" applyFont="1" applyFill="1" applyBorder="1"/>
    <xf numFmtId="0" fontId="11" fillId="3" borderId="0" xfId="2" applyFont="1" applyFill="1"/>
    <xf numFmtId="5" fontId="11" fillId="3" borderId="1" xfId="2" applyNumberFormat="1" applyFont="1" applyFill="1" applyBorder="1"/>
    <xf numFmtId="5" fontId="11" fillId="3" borderId="2" xfId="2" applyNumberFormat="1" applyFont="1" applyFill="1" applyBorder="1"/>
    <xf numFmtId="5" fontId="11" fillId="3" borderId="3" xfId="2" applyNumberFormat="1" applyFont="1" applyFill="1" applyBorder="1"/>
    <xf numFmtId="7" fontId="10" fillId="3" borderId="15" xfId="2" applyNumberFormat="1" applyFont="1" applyFill="1" applyBorder="1" applyAlignment="1">
      <alignment vertical="top"/>
    </xf>
    <xf numFmtId="164" fontId="0" fillId="0" borderId="20" xfId="0" applyNumberFormat="1" applyBorder="1"/>
    <xf numFmtId="0" fontId="0" fillId="0" borderId="20" xfId="0" applyBorder="1"/>
    <xf numFmtId="0" fontId="3" fillId="0" borderId="20" xfId="0" applyFont="1" applyBorder="1"/>
    <xf numFmtId="0" fontId="1" fillId="0" borderId="20" xfId="0" applyFont="1" applyBorder="1"/>
    <xf numFmtId="9" fontId="3" fillId="0" borderId="20" xfId="0" applyNumberFormat="1" applyFont="1" applyBorder="1"/>
    <xf numFmtId="9" fontId="3" fillId="0" borderId="20" xfId="1" applyFont="1" applyBorder="1"/>
    <xf numFmtId="14" fontId="3" fillId="0" borderId="20" xfId="0" applyNumberFormat="1" applyFont="1" applyBorder="1"/>
    <xf numFmtId="0" fontId="0" fillId="0" borderId="21" xfId="0" applyBorder="1"/>
    <xf numFmtId="164" fontId="0" fillId="0" borderId="21" xfId="0" applyNumberFormat="1" applyBorder="1"/>
    <xf numFmtId="164" fontId="7" fillId="0" borderId="21" xfId="1" applyNumberFormat="1" applyFont="1" applyFill="1" applyBorder="1"/>
    <xf numFmtId="0" fontId="6" fillId="0" borderId="0" xfId="0" applyFont="1"/>
    <xf numFmtId="0" fontId="0" fillId="0" borderId="11" xfId="0" applyBorder="1" applyAlignment="1">
      <alignment wrapText="1"/>
    </xf>
    <xf numFmtId="0" fontId="1" fillId="0" borderId="11" xfId="0" applyFont="1" applyBorder="1" applyAlignment="1">
      <alignment vertical="center" wrapText="1"/>
    </xf>
    <xf numFmtId="9" fontId="0" fillId="0" borderId="0" xfId="1" applyFont="1"/>
    <xf numFmtId="164" fontId="0" fillId="0" borderId="0" xfId="7" applyNumberFormat="1" applyFont="1"/>
    <xf numFmtId="164" fontId="3" fillId="3" borderId="0" xfId="7" applyNumberFormat="1" applyFont="1" applyFill="1"/>
    <xf numFmtId="9" fontId="3" fillId="3" borderId="0" xfId="1" applyFont="1" applyFill="1"/>
    <xf numFmtId="0" fontId="1" fillId="0" borderId="5" xfId="0" applyFont="1" applyBorder="1" applyAlignment="1">
      <alignment wrapText="1"/>
    </xf>
    <xf numFmtId="0" fontId="0" fillId="0" borderId="23" xfId="0" applyBorder="1"/>
    <xf numFmtId="0" fontId="1" fillId="0" borderId="24" xfId="0" applyFont="1" applyBorder="1"/>
    <xf numFmtId="0" fontId="0" fillId="0" borderId="25" xfId="0" applyBorder="1"/>
    <xf numFmtId="0" fontId="0" fillId="0" borderId="26" xfId="0" applyBorder="1"/>
    <xf numFmtId="0" fontId="0" fillId="0" borderId="13" xfId="0" applyBorder="1"/>
    <xf numFmtId="0" fontId="0" fillId="0" borderId="7" xfId="0" applyBorder="1"/>
    <xf numFmtId="0" fontId="0" fillId="0" borderId="14" xfId="0" applyBorder="1"/>
    <xf numFmtId="0" fontId="22" fillId="0" borderId="0" xfId="8" applyFont="1" applyAlignment="1">
      <alignment horizontal="left" vertical="top"/>
    </xf>
    <xf numFmtId="0" fontId="22" fillId="0" borderId="6" xfId="8" applyFont="1" applyBorder="1" applyAlignment="1">
      <alignment horizontal="left" vertical="top"/>
    </xf>
    <xf numFmtId="0" fontId="22" fillId="0" borderId="0" xfId="8" applyFont="1" applyAlignment="1">
      <alignment horizontal="right" vertical="top"/>
    </xf>
    <xf numFmtId="0" fontId="23" fillId="0" borderId="6" xfId="8" applyFont="1" applyBorder="1" applyAlignment="1">
      <alignment horizontal="left" vertical="top"/>
    </xf>
    <xf numFmtId="0" fontId="22" fillId="0" borderId="6" xfId="8" applyFont="1" applyBorder="1" applyAlignment="1">
      <alignment horizontal="left" vertical="center"/>
    </xf>
    <xf numFmtId="0" fontId="22" fillId="0" borderId="0" xfId="8" applyFont="1" applyAlignment="1">
      <alignment horizontal="left" vertical="center"/>
    </xf>
    <xf numFmtId="0" fontId="25" fillId="0" borderId="0" xfId="8" applyFont="1" applyAlignment="1">
      <alignment vertical="top"/>
    </xf>
    <xf numFmtId="0" fontId="24" fillId="0" borderId="0" xfId="0" applyFont="1" applyAlignment="1">
      <alignment horizontal="left" vertical="center"/>
    </xf>
    <xf numFmtId="0" fontId="22" fillId="0" borderId="27" xfId="8" applyFont="1" applyBorder="1" applyAlignment="1">
      <alignment horizontal="left" vertical="center"/>
    </xf>
    <xf numFmtId="0" fontId="24" fillId="0" borderId="0" xfId="8" applyFont="1" applyAlignment="1">
      <alignment vertical="top"/>
    </xf>
    <xf numFmtId="164" fontId="23" fillId="0" borderId="6" xfId="8" applyNumberFormat="1" applyFont="1" applyBorder="1" applyAlignment="1">
      <alignment horizontal="left" vertical="center"/>
    </xf>
    <xf numFmtId="0" fontId="0" fillId="0" borderId="31" xfId="0" applyBorder="1"/>
    <xf numFmtId="0" fontId="0" fillId="0" borderId="32" xfId="0" applyBorder="1"/>
    <xf numFmtId="0" fontId="1" fillId="0" borderId="31" xfId="0" applyFont="1" applyBorder="1"/>
    <xf numFmtId="0" fontId="1" fillId="0" borderId="32" xfId="0" applyFont="1" applyBorder="1"/>
    <xf numFmtId="0" fontId="1" fillId="0" borderId="31" xfId="0" applyFont="1" applyBorder="1" applyAlignment="1">
      <alignment horizontal="left" wrapText="1"/>
    </xf>
    <xf numFmtId="164" fontId="0" fillId="0" borderId="0" xfId="0" applyNumberFormat="1" applyProtection="1">
      <protection locked="0"/>
    </xf>
    <xf numFmtId="0" fontId="5" fillId="0" borderId="11" xfId="0" applyFont="1" applyBorder="1"/>
    <xf numFmtId="0" fontId="8" fillId="0" borderId="12" xfId="0" applyFont="1" applyBorder="1"/>
    <xf numFmtId="0" fontId="0" fillId="0" borderId="0" xfId="0" applyAlignment="1">
      <alignment wrapText="1"/>
    </xf>
    <xf numFmtId="10" fontId="0" fillId="0" borderId="0" xfId="0" applyNumberFormat="1"/>
    <xf numFmtId="0" fontId="0" fillId="0" borderId="12" xfId="0" applyBorder="1" applyAlignment="1">
      <alignment horizontal="left" wrapText="1"/>
    </xf>
    <xf numFmtId="14" fontId="0" fillId="5" borderId="0" xfId="0" applyNumberFormat="1" applyFill="1" applyAlignment="1">
      <alignment horizontal="left" wrapText="1"/>
    </xf>
    <xf numFmtId="0" fontId="0" fillId="0" borderId="12" xfId="0" applyBorder="1" applyAlignment="1">
      <alignment wrapText="1"/>
    </xf>
    <xf numFmtId="0" fontId="1" fillId="0" borderId="11" xfId="0" applyFont="1" applyBorder="1" applyAlignment="1">
      <alignment vertical="top"/>
    </xf>
    <xf numFmtId="0" fontId="0" fillId="0" borderId="0" xfId="0" applyAlignment="1">
      <alignment horizontal="right" wrapText="1"/>
    </xf>
    <xf numFmtId="0" fontId="28" fillId="0" borderId="0" xfId="0" applyFont="1" applyAlignment="1">
      <alignment vertical="center"/>
    </xf>
    <xf numFmtId="0" fontId="1" fillId="0" borderId="40" xfId="0" applyFont="1" applyBorder="1"/>
    <xf numFmtId="0" fontId="3" fillId="0" borderId="41" xfId="0" applyFont="1" applyBorder="1"/>
    <xf numFmtId="14" fontId="3" fillId="0" borderId="41" xfId="0" applyNumberFormat="1" applyFont="1" applyBorder="1"/>
    <xf numFmtId="0" fontId="0" fillId="0" borderId="41" xfId="0" applyBorder="1"/>
    <xf numFmtId="0" fontId="23" fillId="0" borderId="6" xfId="8" applyFont="1" applyBorder="1" applyAlignment="1">
      <alignment horizontal="left" vertical="center"/>
    </xf>
    <xf numFmtId="164" fontId="31" fillId="0" borderId="20" xfId="0" applyNumberFormat="1" applyFont="1" applyBorder="1" applyAlignment="1">
      <alignment horizontal="left" vertical="center"/>
    </xf>
    <xf numFmtId="164" fontId="31" fillId="0" borderId="21" xfId="0" applyNumberFormat="1" applyFont="1" applyBorder="1" applyAlignment="1">
      <alignment horizontal="left" vertical="center"/>
    </xf>
    <xf numFmtId="0" fontId="5" fillId="0" borderId="0" xfId="0" applyFont="1" applyAlignment="1">
      <alignment wrapText="1"/>
    </xf>
    <xf numFmtId="0" fontId="8" fillId="0" borderId="0" xfId="0" applyFont="1" applyAlignment="1">
      <alignment wrapText="1"/>
    </xf>
    <xf numFmtId="164" fontId="3" fillId="3" borderId="0" xfId="0" applyNumberFormat="1" applyFont="1" applyFill="1" applyAlignment="1">
      <alignment wrapText="1"/>
    </xf>
    <xf numFmtId="8" fontId="3" fillId="3" borderId="0" xfId="0" applyNumberFormat="1" applyFont="1" applyFill="1" applyAlignment="1">
      <alignment wrapText="1"/>
    </xf>
    <xf numFmtId="8" fontId="3" fillId="0" borderId="0" xfId="0" applyNumberFormat="1" applyFont="1" applyAlignment="1">
      <alignment wrapText="1"/>
    </xf>
    <xf numFmtId="0" fontId="3" fillId="0" borderId="0" xfId="0" applyFont="1" applyAlignment="1">
      <alignment wrapText="1"/>
    </xf>
    <xf numFmtId="164" fontId="0" fillId="0" borderId="0" xfId="0" applyNumberFormat="1" applyAlignment="1">
      <alignment horizontal="right" wrapText="1"/>
    </xf>
    <xf numFmtId="164" fontId="0" fillId="0" borderId="0" xfId="0" applyNumberFormat="1" applyAlignment="1">
      <alignment wrapText="1"/>
    </xf>
    <xf numFmtId="164" fontId="0" fillId="3" borderId="0" xfId="0" applyNumberFormat="1" applyFill="1" applyAlignment="1">
      <alignment wrapText="1"/>
    </xf>
    <xf numFmtId="164" fontId="3" fillId="3" borderId="0" xfId="0" applyNumberFormat="1" applyFont="1" applyFill="1" applyAlignment="1">
      <alignment horizontal="right" wrapText="1"/>
    </xf>
    <xf numFmtId="0" fontId="0" fillId="0" borderId="39" xfId="0" applyBorder="1" applyAlignment="1">
      <alignment wrapText="1"/>
    </xf>
    <xf numFmtId="0" fontId="3" fillId="0" borderId="0" xfId="0" applyFont="1" applyAlignment="1">
      <alignment horizontal="right" wrapText="1"/>
    </xf>
    <xf numFmtId="10" fontId="3" fillId="3" borderId="0" xfId="1" applyNumberFormat="1" applyFont="1" applyFill="1" applyBorder="1" applyAlignment="1">
      <alignment wrapText="1"/>
    </xf>
    <xf numFmtId="10" fontId="0" fillId="0" borderId="0" xfId="0" applyNumberFormat="1" applyAlignment="1">
      <alignment wrapText="1"/>
    </xf>
    <xf numFmtId="164" fontId="0" fillId="0" borderId="0" xfId="1" applyNumberFormat="1" applyFont="1" applyBorder="1"/>
    <xf numFmtId="1" fontId="0" fillId="0" borderId="0" xfId="0" applyNumberFormat="1"/>
    <xf numFmtId="1" fontId="0" fillId="0" borderId="0" xfId="7" applyNumberFormat="1" applyFont="1" applyBorder="1" applyAlignment="1">
      <alignment wrapText="1"/>
    </xf>
    <xf numFmtId="164" fontId="0" fillId="0" borderId="0" xfId="0" applyNumberFormat="1" applyAlignment="1">
      <alignment horizontal="right"/>
    </xf>
    <xf numFmtId="0" fontId="3" fillId="0" borderId="42" xfId="0" applyFont="1" applyBorder="1"/>
    <xf numFmtId="0" fontId="3" fillId="0" borderId="42" xfId="0" applyFont="1" applyBorder="1" applyAlignment="1">
      <alignment horizontal="right"/>
    </xf>
    <xf numFmtId="6" fontId="3" fillId="0" borderId="42" xfId="0" applyNumberFormat="1" applyFont="1" applyBorder="1"/>
    <xf numFmtId="0" fontId="3" fillId="0" borderId="43" xfId="0" applyFont="1" applyBorder="1"/>
    <xf numFmtId="0" fontId="3" fillId="0" borderId="43" xfId="0" applyFont="1" applyBorder="1" applyAlignment="1">
      <alignment horizontal="right"/>
    </xf>
    <xf numFmtId="6" fontId="3" fillId="0" borderId="43" xfId="0" applyNumberFormat="1" applyFont="1" applyBorder="1"/>
    <xf numFmtId="6" fontId="3" fillId="0" borderId="0" xfId="0" applyNumberFormat="1" applyFont="1" applyAlignment="1">
      <alignment wrapText="1"/>
    </xf>
    <xf numFmtId="164" fontId="3" fillId="0" borderId="0" xfId="7" applyNumberFormat="1" applyFont="1" applyBorder="1" applyAlignment="1">
      <alignment wrapText="1"/>
    </xf>
    <xf numFmtId="0" fontId="19" fillId="0" borderId="11" xfId="0" applyFont="1" applyBorder="1" applyAlignment="1">
      <alignment wrapText="1"/>
    </xf>
    <xf numFmtId="0" fontId="33" fillId="0" borderId="11" xfId="0" applyFont="1" applyBorder="1" applyAlignment="1">
      <alignment wrapText="1"/>
    </xf>
    <xf numFmtId="0" fontId="0" fillId="0" borderId="0" xfId="0" applyAlignment="1">
      <alignment horizontal="left" wrapText="1"/>
    </xf>
    <xf numFmtId="0" fontId="1" fillId="0" borderId="0" xfId="0" applyFont="1" applyAlignment="1">
      <alignment horizontal="left" wrapText="1"/>
    </xf>
    <xf numFmtId="0" fontId="1" fillId="0" borderId="32" xfId="0" applyFont="1" applyBorder="1" applyAlignment="1">
      <alignment horizontal="left" wrapText="1"/>
    </xf>
    <xf numFmtId="0" fontId="0" fillId="0" borderId="0" xfId="0" applyBorder="1"/>
    <xf numFmtId="0" fontId="1" fillId="0" borderId="0" xfId="0" applyFont="1" applyBorder="1"/>
    <xf numFmtId="164" fontId="0" fillId="0" borderId="0" xfId="0" applyNumberFormat="1" applyBorder="1"/>
    <xf numFmtId="164" fontId="7" fillId="0" borderId="0" xfId="1" applyNumberFormat="1" applyFont="1" applyFill="1" applyBorder="1"/>
    <xf numFmtId="0" fontId="0" fillId="0" borderId="0" xfId="0" applyFont="1" applyBorder="1"/>
    <xf numFmtId="0" fontId="5" fillId="0" borderId="0" xfId="0" applyFont="1" applyAlignment="1"/>
    <xf numFmtId="0" fontId="0" fillId="0" borderId="11" xfId="0" applyFont="1" applyBorder="1"/>
    <xf numFmtId="0" fontId="0" fillId="0" borderId="11" xfId="0" applyFont="1" applyBorder="1" applyAlignment="1">
      <alignment vertical="top"/>
    </xf>
    <xf numFmtId="0" fontId="0" fillId="0" borderId="11" xfId="0" applyFont="1" applyBorder="1" applyAlignment="1">
      <alignment horizontal="left" wrapText="1"/>
    </xf>
    <xf numFmtId="14" fontId="0" fillId="0" borderId="0" xfId="0" applyNumberFormat="1" applyBorder="1"/>
    <xf numFmtId="0" fontId="34" fillId="0" borderId="0" xfId="0" applyFont="1" applyBorder="1"/>
    <xf numFmtId="0" fontId="34" fillId="0" borderId="11" xfId="0" applyFont="1" applyBorder="1" applyAlignment="1"/>
    <xf numFmtId="0" fontId="34" fillId="0" borderId="11" xfId="0" applyFont="1" applyBorder="1" applyAlignment="1">
      <alignment horizontal="left" wrapText="1"/>
    </xf>
    <xf numFmtId="0" fontId="34" fillId="0" borderId="11" xfId="0" applyFont="1" applyBorder="1" applyAlignment="1">
      <alignment wrapText="1"/>
    </xf>
    <xf numFmtId="0" fontId="34" fillId="0" borderId="0" xfId="0" applyFont="1" applyBorder="1" applyAlignment="1"/>
    <xf numFmtId="0" fontId="0" fillId="0" borderId="11" xfId="0" applyFont="1" applyBorder="1" applyAlignment="1">
      <alignment horizontal="left"/>
    </xf>
    <xf numFmtId="0" fontId="0" fillId="0" borderId="11" xfId="0" applyFont="1" applyBorder="1" applyAlignment="1">
      <alignment vertical="center" wrapText="1"/>
    </xf>
    <xf numFmtId="0" fontId="1" fillId="0" borderId="0" xfId="0" applyFont="1" applyBorder="1" applyAlignment="1">
      <alignment horizontal="left"/>
    </xf>
    <xf numFmtId="0" fontId="3" fillId="3" borderId="0" xfId="0" applyNumberFormat="1" applyFont="1" applyFill="1"/>
    <xf numFmtId="9" fontId="0" fillId="0" borderId="0" xfId="0" applyNumberFormat="1"/>
    <xf numFmtId="164" fontId="0" fillId="0" borderId="0" xfId="0" applyNumberFormat="1" applyFill="1"/>
    <xf numFmtId="0" fontId="0" fillId="0" borderId="0" xfId="0" applyNumberFormat="1"/>
    <xf numFmtId="0" fontId="0" fillId="0" borderId="33" xfId="0"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0" fillId="0" borderId="31" xfId="0" applyBorder="1" applyAlignment="1">
      <alignment horizontal="left" wrapText="1"/>
    </xf>
    <xf numFmtId="0" fontId="0" fillId="0" borderId="0" xfId="0" applyAlignment="1">
      <alignment horizontal="left" wrapText="1"/>
    </xf>
    <xf numFmtId="0" fontId="0" fillId="0" borderId="32" xfId="0" applyBorder="1" applyAlignment="1">
      <alignment horizontal="left" wrapText="1"/>
    </xf>
    <xf numFmtId="0" fontId="2" fillId="2" borderId="28" xfId="0" applyFont="1" applyFill="1" applyBorder="1" applyAlignment="1">
      <alignment horizontal="left" vertical="center"/>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0" fontId="3" fillId="0" borderId="31" xfId="0" applyFont="1" applyBorder="1" applyAlignment="1">
      <alignment horizontal="center" vertical="center" wrapText="1"/>
    </xf>
    <xf numFmtId="0" fontId="3" fillId="0" borderId="0" xfId="0" applyFont="1" applyAlignment="1">
      <alignment horizontal="center" vertical="center" wrapText="1"/>
    </xf>
    <xf numFmtId="0" fontId="3" fillId="0" borderId="32" xfId="0" applyFont="1" applyBorder="1" applyAlignment="1">
      <alignment horizontal="center" vertical="center" wrapText="1"/>
    </xf>
    <xf numFmtId="0" fontId="5" fillId="4" borderId="36"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19" fillId="0" borderId="31" xfId="0" applyFont="1" applyBorder="1" applyAlignment="1">
      <alignment horizontal="left" wrapText="1"/>
    </xf>
    <xf numFmtId="0" fontId="1" fillId="0" borderId="0" xfId="0" applyFont="1" applyAlignment="1">
      <alignment horizontal="left" wrapText="1"/>
    </xf>
    <xf numFmtId="0" fontId="1" fillId="0" borderId="32" xfId="0" applyFont="1" applyBorder="1" applyAlignment="1">
      <alignment horizontal="left" wrapText="1"/>
    </xf>
    <xf numFmtId="0" fontId="0" fillId="5" borderId="0" xfId="0" applyFill="1" applyAlignment="1">
      <alignment horizontal="left" vertical="top" wrapText="1"/>
    </xf>
    <xf numFmtId="0" fontId="0" fillId="5" borderId="12" xfId="0" applyFill="1" applyBorder="1" applyAlignment="1">
      <alignment horizontal="left" vertical="top" wrapText="1"/>
    </xf>
    <xf numFmtId="0" fontId="0" fillId="5" borderId="7" xfId="0" applyFill="1" applyBorder="1" applyAlignment="1">
      <alignment horizontal="left" vertical="top" wrapText="1"/>
    </xf>
    <xf numFmtId="0" fontId="0" fillId="5" borderId="14" xfId="0" applyFill="1" applyBorder="1" applyAlignment="1">
      <alignment horizontal="left" vertical="top" wrapText="1"/>
    </xf>
    <xf numFmtId="0" fontId="0" fillId="5" borderId="0" xfId="0" applyFill="1" applyAlignment="1">
      <alignment horizontal="left" wrapText="1"/>
    </xf>
    <xf numFmtId="0" fontId="0" fillId="5" borderId="12" xfId="0" applyFill="1" applyBorder="1" applyAlignment="1">
      <alignment horizontal="left" wrapText="1"/>
    </xf>
    <xf numFmtId="0" fontId="0" fillId="5" borderId="7" xfId="0" applyFill="1" applyBorder="1" applyAlignment="1">
      <alignment horizontal="center" wrapText="1"/>
    </xf>
    <xf numFmtId="0" fontId="1" fillId="0" borderId="24" xfId="0" applyFont="1" applyBorder="1" applyAlignment="1">
      <alignment horizontal="left" wrapText="1"/>
    </xf>
    <xf numFmtId="0" fontId="1" fillId="0" borderId="25" xfId="0" applyFont="1" applyBorder="1" applyAlignment="1">
      <alignment horizontal="left" wrapText="1"/>
    </xf>
    <xf numFmtId="0" fontId="1" fillId="0" borderId="26" xfId="0" applyFont="1" applyBorder="1" applyAlignment="1">
      <alignment horizontal="left" wrapText="1"/>
    </xf>
    <xf numFmtId="5" fontId="29" fillId="3" borderId="0" xfId="2" applyNumberFormat="1" applyFont="1" applyFill="1" applyAlignment="1">
      <alignment horizontal="center" vertical="top" wrapText="1"/>
    </xf>
    <xf numFmtId="5" fontId="27" fillId="3" borderId="0" xfId="2" applyNumberFormat="1" applyFont="1" applyFill="1" applyAlignment="1">
      <alignment horizontal="center" vertical="top" wrapText="1"/>
    </xf>
    <xf numFmtId="0" fontId="3" fillId="0" borderId="0" xfId="0" applyFont="1" applyAlignment="1">
      <alignment horizontal="left" vertical="top" wrapText="1"/>
    </xf>
    <xf numFmtId="0" fontId="29" fillId="0" borderId="0" xfId="8" applyFont="1" applyAlignment="1">
      <alignment horizontal="center" vertical="top" wrapText="1"/>
    </xf>
    <xf numFmtId="0" fontId="24" fillId="0" borderId="18" xfId="0" applyFont="1" applyBorder="1" applyAlignment="1">
      <alignment horizontal="left" vertical="center"/>
    </xf>
    <xf numFmtId="0" fontId="24" fillId="0" borderId="17" xfId="0" applyFont="1" applyBorder="1" applyAlignment="1">
      <alignment horizontal="left" vertical="center"/>
    </xf>
    <xf numFmtId="0" fontId="24" fillId="0" borderId="1" xfId="0" applyFont="1" applyBorder="1" applyAlignment="1">
      <alignment horizontal="left" vertical="top"/>
    </xf>
    <xf numFmtId="0" fontId="24" fillId="0" borderId="22" xfId="0" applyFont="1" applyBorder="1" applyAlignment="1">
      <alignment horizontal="left" vertical="top"/>
    </xf>
    <xf numFmtId="0" fontId="24" fillId="0" borderId="2" xfId="0" applyFont="1" applyBorder="1" applyAlignment="1">
      <alignment horizontal="left" vertical="top"/>
    </xf>
    <xf numFmtId="0" fontId="24" fillId="0" borderId="4" xfId="0" applyFont="1" applyBorder="1" applyAlignment="1">
      <alignment horizontal="left" vertical="top"/>
    </xf>
    <xf numFmtId="0" fontId="24" fillId="0" borderId="3" xfId="8" applyFont="1" applyBorder="1" applyAlignment="1">
      <alignment horizontal="center" vertical="top"/>
    </xf>
    <xf numFmtId="0" fontId="22" fillId="0" borderId="15" xfId="8" applyFont="1" applyBorder="1" applyAlignment="1">
      <alignment horizontal="center" vertical="top"/>
    </xf>
    <xf numFmtId="0" fontId="24" fillId="0" borderId="6" xfId="8" applyFont="1" applyBorder="1" applyAlignment="1">
      <alignment horizontal="center" vertical="top"/>
    </xf>
    <xf numFmtId="0" fontId="26" fillId="0" borderId="2" xfId="8" applyFont="1" applyBorder="1" applyAlignment="1">
      <alignment horizontal="center" vertical="top"/>
    </xf>
    <xf numFmtId="0" fontId="26" fillId="0" borderId="3" xfId="8" applyFont="1" applyBorder="1" applyAlignment="1">
      <alignment horizontal="center" vertical="top"/>
    </xf>
    <xf numFmtId="0" fontId="26" fillId="0" borderId="4" xfId="8" applyFont="1" applyBorder="1" applyAlignment="1">
      <alignment horizontal="center" vertical="top"/>
    </xf>
  </cellXfs>
  <cellStyles count="9">
    <cellStyle name="Currency" xfId="7" builtinId="4"/>
    <cellStyle name="Currency 2" xfId="4" xr:uid="{E5532E36-1B68-4CFD-8F36-39A160962C62}"/>
    <cellStyle name="Normal" xfId="0" builtinId="0"/>
    <cellStyle name="Normal 2" xfId="2" xr:uid="{3992FCF5-68C8-419F-A081-1437AA080891}"/>
    <cellStyle name="Normal 2 2" xfId="6" xr:uid="{39F07127-2BB4-483C-8813-D10CFC1F4DA2}"/>
    <cellStyle name="Normal 3" xfId="3" xr:uid="{3FC40987-E2CE-4F87-A1E5-1AFCAB7C9897}"/>
    <cellStyle name="Normal 4" xfId="8" xr:uid="{AF1FF007-DE6F-48BD-959F-3521FC0E02F3}"/>
    <cellStyle name="Percent" xfId="1" builtinId="5"/>
    <cellStyle name="Percent 2" xfId="5" xr:uid="{B57D5BFA-A759-4B2A-A5AD-DA45EFE2AE83}"/>
  </cellStyles>
  <dxfs count="245">
    <dxf>
      <font>
        <b val="0"/>
        <i val="0"/>
        <strike val="0"/>
        <condense val="0"/>
        <extend val="0"/>
        <outline val="0"/>
        <shadow val="0"/>
        <u val="none"/>
        <vertAlign val="baseline"/>
        <sz val="11"/>
        <color theme="1"/>
        <name val="Aptos Narrow"/>
        <family val="2"/>
        <scheme val="minor"/>
      </font>
    </dxf>
    <dxf>
      <border outline="0">
        <left style="thick">
          <color theme="0" tint="-0.34998626667073579"/>
        </left>
      </border>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font>
        <b val="0"/>
        <i val="0"/>
        <strike val="0"/>
        <condense val="0"/>
        <extend val="0"/>
        <outline val="0"/>
        <shadow val="0"/>
        <u val="none"/>
        <vertAlign val="baseline"/>
        <sz val="11"/>
        <color theme="1"/>
        <name val="Aptos Narrow"/>
        <family val="2"/>
        <scheme val="minor"/>
      </font>
    </dxf>
    <dxf>
      <border diagonalUp="0" diagonalDown="0" outline="0">
        <left style="thin">
          <color theme="1" tint="0.499984740745262"/>
        </left>
        <right style="thin">
          <color theme="1" tint="0.499984740745262"/>
        </right>
        <top/>
        <bottom/>
      </border>
    </dxf>
    <dxf>
      <numFmt numFmtId="19" formatCode="m/d/yyyy"/>
    </dxf>
    <dxf>
      <font>
        <b val="0"/>
        <i val="0"/>
        <strike val="0"/>
        <condense val="0"/>
        <extend val="0"/>
        <outline val="0"/>
        <shadow val="0"/>
        <u val="none"/>
        <vertAlign val="baseline"/>
        <sz val="11"/>
        <color theme="0"/>
        <name val="Aptos Narrow"/>
        <family val="2"/>
        <scheme val="minor"/>
      </font>
      <alignment horizontal="general" vertical="bottom" textRotation="0" wrapText="0" indent="0" justifyLastLine="0" shrinkToFit="0"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font>
        <b val="0"/>
        <i val="0"/>
        <strike val="0"/>
        <condense val="0"/>
        <extend val="0"/>
        <outline val="0"/>
        <shadow val="0"/>
        <u val="none"/>
        <vertAlign val="baseline"/>
        <sz val="11"/>
        <color theme="1"/>
        <name val="Aptos Narrow"/>
        <family val="2"/>
        <scheme val="minor"/>
      </font>
    </dxf>
    <dxf>
      <border diagonalUp="0" diagonalDown="0" outline="0">
        <left style="thin">
          <color theme="1" tint="0.499984740745262"/>
        </left>
        <right style="thin">
          <color theme="1" tint="0.499984740745262"/>
        </right>
        <top/>
        <bottom/>
      </border>
    </dxf>
    <dxf>
      <numFmt numFmtId="164" formatCode="&quot;$&quot;#,##0.00"/>
    </dxf>
    <dxf>
      <numFmt numFmtId="164" formatCode="&quot;$&quot;#,##0.00"/>
    </dxf>
    <dxf>
      <numFmt numFmtId="164" formatCode="&quot;$&quot;#,##0.00"/>
    </dxf>
    <dxf>
      <numFmt numFmtId="164" formatCode="&quot;$&quot;#,##0.00"/>
      <fill>
        <patternFill>
          <fgColor indexed="64"/>
          <bgColor theme="0"/>
        </patternFill>
      </fill>
    </dxf>
    <dxf>
      <numFmt numFmtId="14" formatCode="0.00%"/>
      <fill>
        <patternFill patternType="none">
          <fgColor indexed="64"/>
          <bgColor auto="1"/>
        </patternFill>
      </fill>
    </dxf>
    <dxf>
      <numFmt numFmtId="164" formatCode="&quot;$&quot;#,##0.00"/>
    </dxf>
    <dxf>
      <numFmt numFmtId="0" formatCode="General"/>
    </dxf>
    <dxf>
      <numFmt numFmtId="164" formatCode="&quot;$&quot;#,##0.00"/>
    </dxf>
    <dxf>
      <numFmt numFmtId="164" formatCode="&quot;$&quot;#,##0.00"/>
    </dxf>
    <dxf>
      <numFmt numFmtId="164" formatCode="&quot;$&quot;#,##0.00"/>
    </dxf>
    <dxf>
      <numFmt numFmtId="164" formatCode="&quot;$&quot;#,##0.00"/>
      <fill>
        <patternFill patternType="solid">
          <fgColor indexed="64"/>
          <bgColor theme="0"/>
        </patternFill>
      </fill>
    </dxf>
    <dxf>
      <numFmt numFmtId="164" formatCode="&quot;$&quot;#,##0.00"/>
    </dxf>
    <dxf>
      <numFmt numFmtId="0" formatCode="General"/>
    </dxf>
    <dxf>
      <numFmt numFmtId="164" formatCode="&quot;$&quot;#,##0.00"/>
    </dxf>
    <dxf>
      <numFmt numFmtId="164" formatCode="&quot;$&quot;#,##0.00"/>
    </dxf>
    <dxf>
      <numFmt numFmtId="164" formatCode="&quot;$&quot;#,##0.00"/>
    </dxf>
    <dxf>
      <numFmt numFmtId="164" formatCode="&quot;$&quot;#,##0.00"/>
      <fill>
        <patternFill patternType="solid">
          <fgColor indexed="64"/>
          <bgColor theme="0"/>
        </patternFill>
      </fill>
    </dxf>
    <dxf>
      <numFmt numFmtId="164" formatCode="&quot;$&quot;#,##0.00"/>
    </dxf>
    <dxf>
      <numFmt numFmtId="164" formatCode="&quot;$&quot;#,##0.00"/>
    </dxf>
    <dxf>
      <numFmt numFmtId="0" formatCode="General"/>
    </dxf>
    <dxf>
      <numFmt numFmtId="164" formatCode="&quot;$&quot;#,##0.00"/>
    </dxf>
    <dxf>
      <numFmt numFmtId="164" formatCode="&quot;$&quot;#,##0.00"/>
      <fill>
        <patternFill patternType="none">
          <fgColor indexed="64"/>
          <bgColor indexed="65"/>
        </patternFill>
      </fill>
    </dxf>
    <dxf>
      <numFmt numFmtId="164" formatCode="&quot;$&quot;#,##0.00"/>
    </dxf>
    <dxf>
      <numFmt numFmtId="164" formatCode="&quot;$&quot;#,##0.00"/>
      <fill>
        <patternFill patternType="none">
          <fgColor indexed="64"/>
          <bgColor auto="1"/>
        </patternFill>
      </fill>
    </dxf>
    <dxf>
      <numFmt numFmtId="164" formatCode="&quot;$&quot;#,##0.00"/>
      <border diagonalUp="0" diagonalDown="0" outline="0">
        <left style="thin">
          <color theme="3" tint="0.89996032593768116"/>
        </left>
        <right/>
        <top/>
        <bottom/>
      </border>
    </dxf>
    <dxf>
      <numFmt numFmtId="164" formatCode="&quot;$&quot;#,##0.00"/>
      <border diagonalUp="0" diagonalDown="0">
        <left style="thin">
          <color theme="3" tint="0.89996032593768116"/>
        </left>
        <right/>
        <top/>
        <bottom/>
        <vertical/>
        <horizontal/>
      </border>
    </dxf>
    <dxf>
      <numFmt numFmtId="164" formatCode="&quot;$&quot;#,##0.00"/>
    </dxf>
    <dxf>
      <numFmt numFmtId="0" formatCode="General"/>
    </dxf>
    <dxf>
      <numFmt numFmtId="164" formatCode="&quot;$&quot;#,##0.00"/>
    </dxf>
    <dxf>
      <numFmt numFmtId="164" formatCode="&quot;$&quot;#,##0.00"/>
      <fill>
        <patternFill patternType="none">
          <fgColor indexed="64"/>
          <bgColor indexed="65"/>
        </patternFill>
      </fill>
    </dxf>
    <dxf>
      <numFmt numFmtId="164" formatCode="&quot;$&quot;#,##0.00"/>
    </dxf>
    <dxf>
      <numFmt numFmtId="164" formatCode="&quot;$&quot;#,##0.00"/>
      <fill>
        <patternFill patternType="none">
          <fgColor indexed="64"/>
          <bgColor auto="1"/>
        </patternFill>
      </fill>
    </dxf>
    <dxf>
      <numFmt numFmtId="164" formatCode="&quot;$&quot;#,##0.00"/>
      <border diagonalUp="0" diagonalDown="0" outline="0">
        <left style="thin">
          <color theme="3" tint="0.89996032593768116"/>
        </left>
        <right/>
        <top/>
        <bottom/>
      </border>
    </dxf>
    <dxf>
      <numFmt numFmtId="164" formatCode="&quot;$&quot;#,##0.00"/>
      <border diagonalUp="0" diagonalDown="0">
        <left style="thin">
          <color theme="3" tint="0.89996032593768116"/>
        </left>
        <right/>
        <top/>
        <bottom/>
        <vertical/>
        <horizontal/>
      </border>
    </dxf>
    <dxf>
      <numFmt numFmtId="164" formatCode="&quot;$&quot;#,##0.00"/>
    </dxf>
    <dxf>
      <numFmt numFmtId="0" formatCode="General"/>
    </dxf>
    <dxf>
      <numFmt numFmtId="164" formatCode="&quot;$&quot;#,##0.00"/>
    </dxf>
    <dxf>
      <numFmt numFmtId="164" formatCode="&quot;$&quot;#,##0.00"/>
    </dxf>
    <dxf>
      <numFmt numFmtId="164" formatCode="&quot;$&quot;#,##0.00"/>
    </dxf>
    <dxf>
      <numFmt numFmtId="164" formatCode="&quot;$&quot;#,##0.00"/>
      <fill>
        <patternFill patternType="solid">
          <fgColor indexed="64"/>
          <bgColor theme="0"/>
        </patternFill>
      </fill>
    </dxf>
    <dxf>
      <numFmt numFmtId="164" formatCode="&quot;$&quot;#,##0.00"/>
    </dxf>
    <dxf>
      <numFmt numFmtId="164" formatCode="&quot;$&quot;#,##0.00"/>
    </dxf>
    <dxf>
      <numFmt numFmtId="0" formatCode="General"/>
    </dxf>
    <dxf>
      <numFmt numFmtId="164" formatCode="&quot;$&quot;#,##0.00"/>
    </dxf>
    <dxf>
      <numFmt numFmtId="164" formatCode="&quot;$&quot;#,##0.00"/>
    </dxf>
    <dxf>
      <numFmt numFmtId="164" formatCode="&quot;$&quot;#,##0.00"/>
    </dxf>
    <dxf>
      <numFmt numFmtId="164" formatCode="&quot;$&quot;#,##0.00"/>
      <fill>
        <patternFill patternType="solid">
          <fgColor indexed="64"/>
          <bgColor theme="0"/>
        </patternFill>
      </fill>
    </dxf>
    <dxf>
      <numFmt numFmtId="164" formatCode="&quot;$&quot;#,##0.00"/>
    </dxf>
    <dxf>
      <numFmt numFmtId="164" formatCode="&quot;$&quot;#,##0.00"/>
      <fill>
        <patternFill patternType="none">
          <fgColor indexed="64"/>
          <bgColor auto="1"/>
        </patternFill>
      </fill>
    </dxf>
    <dxf>
      <numFmt numFmtId="164" formatCode="&quot;$&quot;#,##0.00"/>
      <protection locked="0" hidden="0"/>
    </dxf>
    <dxf>
      <numFmt numFmtId="164" formatCode="&quot;$&quot;#,##0.00"/>
      <fill>
        <patternFill patternType="solid">
          <fgColor indexed="64"/>
          <bgColor theme="0"/>
        </patternFill>
      </fill>
    </dxf>
    <dxf>
      <numFmt numFmtId="164" formatCode="&quot;$&quot;#,##0.00"/>
    </dxf>
    <dxf>
      <numFmt numFmtId="1" formatCode="0"/>
    </dxf>
    <dxf>
      <numFmt numFmtId="164" formatCode="&quot;$&quot;#,##0.00"/>
      <fill>
        <patternFill patternType="none">
          <fgColor indexed="64"/>
          <bgColor auto="1"/>
        </patternFill>
      </fill>
      <alignment horizontal="right" vertical="bottom" textRotation="0" wrapText="0" indent="0" justifyLastLine="0" shrinkToFit="0" readingOrder="0"/>
    </dxf>
    <dxf>
      <numFmt numFmtId="164" formatCode="&quot;$&quot;#,##0.00"/>
    </dxf>
    <dxf>
      <numFmt numFmtId="1" formatCode="0"/>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numFmt numFmtId="164" formatCode="&quot;$&quot;#,##0.00"/>
    </dxf>
    <dxf>
      <numFmt numFmtId="164" formatCode="&quot;$&quot;#,##0.00"/>
    </dxf>
    <dxf>
      <numFmt numFmtId="164" formatCode="&quot;$&quot;#,##0.00"/>
    </dxf>
    <dxf>
      <numFmt numFmtId="164" formatCode="&quot;$&quot;#,##0.00"/>
      <fill>
        <patternFill patternType="solid">
          <fgColor indexed="64"/>
          <bgColor theme="0"/>
        </patternFill>
      </fill>
    </dxf>
    <dxf>
      <numFmt numFmtId="164" formatCode="&quot;$&quot;#,##0.00"/>
    </dxf>
    <dxf>
      <numFmt numFmtId="1" formatCode="0"/>
    </dxf>
    <dxf>
      <numFmt numFmtId="164" formatCode="&quot;$&quot;#,##0.00"/>
    </dxf>
    <dxf>
      <numFmt numFmtId="164" formatCode="&quot;$&quot;#,##0.00"/>
    </dxf>
    <dxf>
      <numFmt numFmtId="164" formatCode="&quot;$&quot;#,##0.00"/>
    </dxf>
    <dxf>
      <numFmt numFmtId="164" formatCode="&quot;$&quot;#,##0.00"/>
      <fill>
        <patternFill patternType="solid">
          <fgColor indexed="64"/>
          <bgColor theme="0"/>
        </patternFill>
      </fill>
    </dxf>
    <dxf>
      <numFmt numFmtId="164" formatCode="&quot;$&quot;#,##0.00"/>
      <fill>
        <patternFill patternType="none">
          <fgColor indexed="64"/>
          <bgColor auto="1"/>
        </patternFill>
      </fill>
    </dxf>
    <dxf>
      <numFmt numFmtId="0" formatCode="General"/>
    </dxf>
    <dxf>
      <numFmt numFmtId="1" formatCode="0"/>
    </dxf>
    <dxf>
      <fill>
        <patternFill>
          <bgColor theme="5" tint="0.79998168889431442"/>
        </patternFill>
      </fill>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border outline="0">
        <bottom style="double">
          <color indexed="64"/>
        </bottom>
      </border>
    </dxf>
    <dxf>
      <border outline="0">
        <top style="double">
          <color indexed="64"/>
        </top>
        <bottom style="thin">
          <color theme="1" tint="0.499984740745262"/>
        </bottom>
      </border>
    </dxf>
    <dxf>
      <font>
        <b/>
        <i val="0"/>
        <strike val="0"/>
        <condense val="0"/>
        <extend val="0"/>
        <outline val="0"/>
        <shadow val="0"/>
        <u val="none"/>
        <vertAlign val="baseline"/>
        <sz val="11"/>
        <color theme="1"/>
        <name val="Aptos Narrow"/>
        <family val="2"/>
        <scheme val="minor"/>
      </font>
      <border diagonalUp="0" diagonalDown="0" outline="0">
        <left style="double">
          <color indexed="64"/>
        </left>
        <right style="double">
          <color indexed="64"/>
        </right>
        <top/>
        <bottom/>
      </border>
    </dxf>
    <dxf>
      <numFmt numFmtId="164" formatCode="&quot;$&quot;#,##0.00"/>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alignment vertical="bottom" textRotation="0" wrapText="1" indent="0" justifyLastLine="0" shrinkToFit="0" readingOrder="0"/>
    </dxf>
    <dxf>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fgColor indexed="64"/>
          <bgColor theme="0"/>
        </patternFill>
      </fill>
      <alignment vertical="bottom" textRotation="0" wrapText="1" indent="0" justifyLastLine="0" shrinkToFit="0" readingOrder="0"/>
    </dxf>
    <dxf>
      <numFmt numFmtId="14" formatCode="0.00%"/>
      <fill>
        <patternFill patternType="none">
          <fgColor indexed="64"/>
          <bgColor auto="1"/>
        </patternFill>
      </fill>
      <alignment vertical="bottom" textRotation="0" wrapText="1" indent="0" justifyLastLine="0" shrinkToFit="0" readingOrder="0"/>
    </dxf>
    <dxf>
      <numFmt numFmtId="164" formatCode="&quot;$&quot;#,##0.00"/>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164" formatCode="&quot;$&quot;#,##0.00"/>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alignment vertical="bottom" textRotation="0" wrapText="1" indent="0" justifyLastLine="0" shrinkToFit="0" readingOrder="0"/>
    </dxf>
    <dxf>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164" formatCode="&quot;$&quot;#,##0.00"/>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alignment vertical="bottom" textRotation="0" wrapText="1" indent="0" justifyLastLine="0" shrinkToFit="0" readingOrder="0"/>
    </dxf>
    <dxf>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164" formatCode="&quot;$&quot;#,##0.00"/>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164" formatCode="&quot;$&quot;#,##0.00"/>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alignment vertical="bottom" textRotation="0" wrapText="1" indent="0" justifyLastLine="0" shrinkToFit="0" readingOrder="0"/>
    </dxf>
    <dxf>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164" formatCode="&quot;$&quot;#,##0.00"/>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alignment vertical="bottom" textRotation="0" wrapText="1" indent="0" justifyLastLine="0" shrinkToFit="0" readingOrder="0"/>
    </dxf>
    <dxf>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164" formatCode="&quot;$&quot;#,##0.00"/>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alignment vertical="bottom" textRotation="0" wrapText="1" indent="0" justifyLastLine="0" shrinkToFit="0" readingOrder="0"/>
    </dxf>
    <dxf>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164" formatCode="&quot;$&quot;#,##0.00"/>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alignment vertical="bottom" textRotation="0" wrapText="1" indent="0" justifyLastLine="0" shrinkToFit="0" readingOrder="0"/>
    </dxf>
    <dxf>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164" formatCode="&quot;$&quot;#,##0.00"/>
      <alignment vertical="bottom" textRotation="0" wrapText="1" indent="0" justifyLastLine="0" shrinkToFit="0" readingOrder="0"/>
    </dxf>
    <dxf>
      <numFmt numFmtId="0" formatCode="General"/>
      <alignment vertical="bottom" textRotation="0" wrapText="1" indent="0" justifyLastLine="0" shrinkToFit="0" readingOrder="0"/>
      <border diagonalUp="0" diagonalDown="0" outline="0">
        <left/>
        <right style="thin">
          <color theme="3" tint="0.89996032593768116"/>
        </right>
        <top/>
        <bottom/>
      </border>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none">
          <fgColor indexed="64"/>
          <bgColor auto="1"/>
        </patternFill>
      </fill>
      <alignment vertical="bottom" textRotation="0" wrapText="1" indent="0" justifyLastLine="0" shrinkToFit="0" readingOrder="0"/>
    </dxf>
    <dxf>
      <numFmt numFmtId="164" formatCode="&quot;$&quot;#,##0.00"/>
      <alignment vertical="bottom" textRotation="0" wrapText="1" indent="0" justifyLastLine="0" shrinkToFit="0" readingOrder="0"/>
    </dxf>
    <dxf>
      <numFmt numFmtId="0" formatCode="General"/>
      <alignment horizontal="right" vertical="bottom" textRotation="0" wrapText="1" indent="0" justifyLastLine="0" shrinkToFit="0" readingOrder="0"/>
    </dxf>
    <dxf>
      <numFmt numFmtId="0" formatCode="General"/>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fill>
        <patternFill patternType="none">
          <fgColor indexed="64"/>
          <bgColor auto="1"/>
        </patternFill>
      </fill>
      <alignment vertical="bottom" textRotation="0" wrapText="1" indent="0" justifyLastLine="0" shrinkToFit="0" readingOrder="0"/>
    </dxf>
    <dxf>
      <numFmt numFmtId="164" formatCode="&quot;$&quot;#,##0.00"/>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ill>
        <patternFill>
          <bgColor theme="5" tint="0.79998168889431442"/>
        </patternFill>
      </fill>
    </dxf>
    <dxf>
      <fill>
        <patternFill>
          <bgColor theme="3" tint="0.89996032593768116"/>
        </patternFill>
      </fill>
      <border>
        <left style="thin">
          <color theme="0" tint="-0.34998626667073579"/>
        </left>
        <right style="thin">
          <color theme="0" tint="-0.34998626667073579"/>
        </right>
        <top style="thin">
          <color theme="0" tint="-0.34998626667073579"/>
        </top>
        <bottom style="thick">
          <color theme="0" tint="-0.34998626667073579"/>
        </bottom>
        <vertical style="thin">
          <color theme="0" tint="-0.34998626667073579"/>
        </vertical>
        <horizontal style="thin">
          <color theme="0" tint="-0.34998626667073579"/>
        </horizontal>
      </border>
    </dxf>
  </dxfs>
  <tableStyles count="2" defaultTableStyle="TableStyleMedium2" defaultPivotStyle="PivotStyleLight16">
    <tableStyle name="Table Style 1" pivot="0" count="0" xr9:uid="{12424C3F-0B63-456F-9565-550AEA797D01}"/>
    <tableStyle name="Table Style 2" pivot="0" count="1" xr9:uid="{5ADAE74F-29FB-454B-A316-79C29CBF7652}">
      <tableStyleElement type="wholeTable" dxfId="244"/>
    </tableStyle>
  </tableStyles>
  <colors>
    <mruColors>
      <color rgb="FF000099"/>
      <color rgb="FF215C98"/>
      <color rgb="FFFFCC66"/>
      <color rgb="FFFFF8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539750</xdr:colOff>
      <xdr:row>0</xdr:row>
      <xdr:rowOff>12700</xdr:rowOff>
    </xdr:from>
    <xdr:to>
      <xdr:col>6</xdr:col>
      <xdr:colOff>1467887</xdr:colOff>
      <xdr:row>0</xdr:row>
      <xdr:rowOff>552707</xdr:rowOff>
    </xdr:to>
    <xdr:pic>
      <xdr:nvPicPr>
        <xdr:cNvPr id="3" name="Picture 2" descr="Logos of the National Park Service and the Land and Water Conservation Fund.">
          <a:extLst>
            <a:ext uri="{FF2B5EF4-FFF2-40B4-BE49-F238E27FC236}">
              <a16:creationId xmlns:a16="http://schemas.microsoft.com/office/drawing/2014/main" id="{80BCB369-2372-B6C9-C38A-6B5EAC0388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2200" y="12700"/>
          <a:ext cx="928137" cy="54000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EE9F9A-90D1-497C-AA08-0CD688F47966}" name="AdminLegal" displayName="AdminLegal" ref="A25:J28" headerRowCount="0" totalsRowShown="0" headerRowDxfId="242" dataDxfId="241">
  <tableColumns count="10">
    <tableColumn id="1" xr3:uid="{950BFDBA-BB5D-4DAD-9AC5-8547BFD0F39B}" name="Column1" dataDxfId="240"/>
    <tableColumn id="2" xr3:uid="{CF3DEC10-6849-4271-85AC-204BA325455F}" name="Column2" dataDxfId="239"/>
    <tableColumn id="3" xr3:uid="{16BFA937-3FB6-45C8-9A1C-E39DD731504B}" name="Column3" dataDxfId="238"/>
    <tableColumn id="4" xr3:uid="{D212CAB9-5D5C-41FE-A998-CBD9F939E656}" name="Column4" dataDxfId="237"/>
    <tableColumn id="5" xr3:uid="{229B0FEC-13F0-4CFB-A917-EDCF66B8F1A5}" name="Column5" dataDxfId="236">
      <calculatedColumnFormula>AdminLegal[[#This Row],[Column2]]*AdminLegal[[#This Row],[Column4]]</calculatedColumnFormula>
    </tableColumn>
    <tableColumn id="6" xr3:uid="{C7BFA764-1DFB-4765-8565-B4F930A4122C}" name="Column6" dataDxfId="235"/>
    <tableColumn id="7" xr3:uid="{38B67BD9-CBC2-41F9-86A1-9AA2E6A2946D}" name="Column7" dataDxfId="234"/>
    <tableColumn id="8" xr3:uid="{7807D8A6-9534-4414-AAB8-A6BE757EA9E2}" name="Column8" dataDxfId="233"/>
    <tableColumn id="9" xr3:uid="{2B11E90F-0E81-4573-AE9F-29391846648D}" name="Column9" dataDxfId="232"/>
    <tableColumn id="10" xr3:uid="{411FCB9B-6337-4D1D-A37C-0F4DC67F0C56}" name="Column10" dataDxfId="231"/>
  </tableColumns>
  <tableStyleInfo name="Table Sty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AE3C09E-3D35-43C4-9F24-2FABCCAA799B}" name="Indirect" displayName="Indirect" ref="A116:H117" headerRowCount="0" totalsRowShown="0" headerRowDxfId="134" dataDxfId="133">
  <tableColumns count="8">
    <tableColumn id="1" xr3:uid="{2FD0B80A-4575-4DEF-869E-3901DD1B8E54}" name="Column1" dataDxfId="132"/>
    <tableColumn id="2" xr3:uid="{C4130493-AF91-4FB6-9123-C57079E6926D}" name="Column2" dataDxfId="131"/>
    <tableColumn id="3" xr3:uid="{6B7B206C-B481-4889-BCA5-B217C6FAA698}" name="Column3" dataDxfId="130"/>
    <tableColumn id="4" xr3:uid="{2BD9A3AB-D84A-49C3-B9ED-F6FA8F6F205C}" name="Column4" dataDxfId="129"/>
    <tableColumn id="5" xr3:uid="{7FC29FFA-FB71-4A00-9DF9-FE60564D7C4A}" name="Column5" dataDxfId="128">
      <calculatedColumnFormula>ROUNDUP(Indirect[[#This Row],[Column4]]*Indirect[[#This Row],[Column3]], 2)</calculatedColumnFormula>
    </tableColumn>
    <tableColumn id="6" xr3:uid="{C2E6D7A7-066D-4123-B443-16C3E1ABAB37}" name="Column6" dataDxfId="127"/>
    <tableColumn id="7" xr3:uid="{D8CCC9E4-06C5-474C-A1ED-17211B77AADD}" name="Column7" dataDxfId="126"/>
    <tableColumn id="8" xr3:uid="{79E0132B-E0B4-4EC9-B074-51A7478979BA}" name="Column8" dataDxfId="125"/>
  </tableColumns>
  <tableStyleInfo name="Table Style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41F1FE4-CDF9-4120-AC75-58169D05DB40}" name="Misc" displayName="Misc" ref="A102:J105" headerRowCount="0" totalsRowShown="0" headerRowDxfId="124" dataDxfId="123">
  <tableColumns count="10">
    <tableColumn id="1" xr3:uid="{083A51E1-DD0F-44F9-B970-CEF3D4DA3628}" name="Column1" dataDxfId="122"/>
    <tableColumn id="2" xr3:uid="{E4728403-4B06-4C33-A0C5-E683C13F356A}" name="Column2" dataDxfId="121"/>
    <tableColumn id="10" xr3:uid="{73DDFEFF-F2AB-421F-9869-879BE6394736}" name="Column10" dataDxfId="120"/>
    <tableColumn id="3" xr3:uid="{A0517D6F-EFFA-401A-9F02-64458846A83B}" name="Column3" dataDxfId="119"/>
    <tableColumn id="4" xr3:uid="{5E42B47C-CA61-4595-BA27-4B2A08E2C800}" name="Column4" dataDxfId="118">
      <calculatedColumnFormula>Misc[[#This Row],[Column2]]*Misc[[#This Row],[Column3]]</calculatedColumnFormula>
    </tableColumn>
    <tableColumn id="5" xr3:uid="{A36B4697-7517-4C38-B0DD-9D060DE837C4}" name="Column5" dataDxfId="117"/>
    <tableColumn id="6" xr3:uid="{17A2FCA7-76F0-4886-B3AE-7D76FD1BCA07}" name="Column6" dataDxfId="116"/>
    <tableColumn id="7" xr3:uid="{60420036-7351-47CA-A692-AFD89D188EA6}" name="Column7" dataDxfId="115"/>
    <tableColumn id="8" xr3:uid="{0CEAD946-B9AF-4183-A9CB-34DB1D399E8F}" name="Column8" dataDxfId="114"/>
    <tableColumn id="9" xr3:uid="{57EBE7A7-BF3D-4B77-B498-E5B78843FBCA}" name="Column9" dataDxfId="113"/>
  </tableColumns>
  <tableStyleInfo name="Table Style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3B9327B-3278-4A04-992F-4B73BF79D991}" name="ParkProjectSummary" displayName="ParkProjectSummary" ref="A120:D139" totalsRowShown="0" headerRowDxfId="112" headerRowBorderDxfId="110" tableBorderDxfId="111">
  <autoFilter ref="A120:D139" xr:uid="{43B9327B-3278-4A04-992F-4B73BF79D991}"/>
  <tableColumns count="4">
    <tableColumn id="1" xr3:uid="{67C37909-F5BB-4172-A269-058D8C720AF6}" name="Cost Classification"/>
    <tableColumn id="2" xr3:uid="{296E4B42-DCBC-4075-92E4-9342A3C283B8}" name="Total Cost"/>
    <tableColumn id="3" xr3:uid="{49544DCF-35EE-4E59-8840-A659D6837896}" name="Federal Share" dataDxfId="109"/>
    <tableColumn id="4" xr3:uid="{1510DED6-A13F-414B-9CFE-13586F99CAC5}" name="Non-Federal Share" dataDxfId="108"/>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F9F39E5-2C49-44D2-A847-9B485B35AA94}" name="Contingency" displayName="Contingency" ref="A110:C110" headerRowCount="0" totalsRowShown="0" headerRowDxfId="107" dataDxfId="106">
  <tableColumns count="3">
    <tableColumn id="1" xr3:uid="{6C71467A-14A6-4710-9FEF-EA9D2E1DDC6E}" name="Column1" dataDxfId="105"/>
    <tableColumn id="2" xr3:uid="{4D68AC77-DB89-4BD6-9AFD-C79B9D6DB2AE}" name="Column2" dataDxfId="104"/>
    <tableColumn id="3" xr3:uid="{91892D21-2542-48C5-8E01-BDFAF2FE4D41}" name="Column3" dataDxfId="103"/>
  </tableColumns>
  <tableStyleInfo name="Table Style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2DDF9DA-2CD7-4FDE-9351-420645724F17}" name="Personnel" displayName="Personnel" ref="A22:I25" headerRowCount="0" totalsRowShown="0">
  <tableColumns count="9">
    <tableColumn id="1" xr3:uid="{67ED4806-3317-4240-9923-B5576D1F900D}" name="Column1"/>
    <tableColumn id="2" xr3:uid="{30D0942E-1361-4718-8CA0-E2D552B35609}" name="Column2" dataDxfId="101"/>
    <tableColumn id="3" xr3:uid="{3ABD7FF6-9909-4D35-A669-80604BF91EA4}" name="Column3" dataDxfId="100"/>
    <tableColumn id="4" xr3:uid="{8DEAC4B7-B7C5-4459-93BD-ECDE1A46BB90}" name="Column4" dataDxfId="99"/>
    <tableColumn id="5" xr3:uid="{2B13D422-EE1D-4ADA-A0B6-F73954CCC07B}" name="Column5" dataDxfId="98">
      <calculatedColumnFormula>ROUND(Personnel[[#This Row],[Column2]]*Personnel[[#This Row],[Column3]]*Personnel[[#This Row],[Column4]], 2)</calculatedColumnFormula>
    </tableColumn>
    <tableColumn id="6" xr3:uid="{5B0649F4-B835-40B6-9994-C910B367A394}" name="Column6" dataDxfId="97"/>
    <tableColumn id="7" xr3:uid="{5673D0BD-A26F-4802-B3C9-B78AE4A8D53E}" name="Column7" dataDxfId="96"/>
    <tableColumn id="9" xr3:uid="{BB9A03DF-913E-4742-99A0-925C89985D20}" name="Column9" dataDxfId="95"/>
    <tableColumn id="8" xr3:uid="{E7D0FAEF-B7B6-47E0-B1DD-893A919408F2}" name="Column8" dataDxfId="94"/>
  </tableColumns>
  <tableStyleInfo name="Table Style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27E44BB-DDFB-46A4-829C-8ED292ED785E}" name="Fringe" displayName="Fringe" ref="A31:H34" headerRowCount="0" totalsRowShown="0">
  <tableColumns count="8">
    <tableColumn id="1" xr3:uid="{5D078379-CAC3-43F1-8C54-DE8363F4B8AE}" name="Column1"/>
    <tableColumn id="2" xr3:uid="{55A6ED35-742E-475C-B725-FB10B31F7B08}" name="Column2" dataDxfId="93" dataCellStyle="Currency"/>
    <tableColumn id="3" xr3:uid="{8ABF7CE7-8682-4821-9361-2DD9FF48E893}" name="Column3" dataCellStyle="Percent"/>
    <tableColumn id="4" xr3:uid="{ACB57241-FE8F-4280-B471-8274276E7ABF}" name="Column4" dataDxfId="92">
      <calculatedColumnFormula>ROUND(Fringe[[#This Row],[Column2]]*Fringe[[#This Row],[Column3]],2)</calculatedColumnFormula>
    </tableColumn>
    <tableColumn id="5" xr3:uid="{D66C57F3-7B7B-479D-A188-233041A2B73C}" name="Column5" dataDxfId="91"/>
    <tableColumn id="6" xr3:uid="{0F4A0433-1B05-4B3A-BA39-DDA2CE12121F}" name="Column6" dataDxfId="90"/>
    <tableColumn id="7" xr3:uid="{7C5711AD-1F82-4220-979F-008CDC2D9C2C}" name="Column7" dataDxfId="89"/>
    <tableColumn id="8" xr3:uid="{93A5129A-3355-4A92-A593-7213CE5E1883}" name="Column8" dataDxfId="88"/>
  </tableColumns>
  <tableStyleInfo name="Table Style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AF308D7-46DB-42CC-9DEE-006B0C8FB304}" name="Travel" displayName="Travel" ref="A42:I45" headerRowCount="0" totalsRowShown="0">
  <tableColumns count="9">
    <tableColumn id="1" xr3:uid="{8DABE6AF-5D1D-4BB1-83B3-FB902DCAF5CD}" name="Column1" dataDxfId="87"/>
    <tableColumn id="2" xr3:uid="{78C9D032-D325-4EC5-A2C2-27D8A28B7217}" name="Column2" dataDxfId="86" dataCellStyle="Currency"/>
    <tableColumn id="3" xr3:uid="{C0813FE6-A909-4A09-92A8-B303116B2886}" name="Column3" dataDxfId="85" dataCellStyle="Percent"/>
    <tableColumn id="4" xr3:uid="{FD093646-EFFE-4F23-9520-24A09DCCFF05}" name="Column4" dataDxfId="84"/>
    <tableColumn id="5" xr3:uid="{188EED2C-975E-49CA-9C36-B47142B4D54C}" name="Column5" dataDxfId="83"/>
    <tableColumn id="6" xr3:uid="{19DA9551-A880-4F17-BCB4-4C1DBF9FCD32}" name="Column6" dataDxfId="82"/>
    <tableColumn id="7" xr3:uid="{600E42A6-1CB1-48DB-9208-BA5BBCA10FFA}" name="Column7" dataDxfId="81">
      <calculatedColumnFormula>Travel[[#This Row],[Column3]]*Travel[[#This Row],[Column5]]*Travel[[#This Row],[Column6]]</calculatedColumnFormula>
    </tableColumn>
    <tableColumn id="8" xr3:uid="{0F1295B6-2378-4B3D-889A-33F3E40274F4}" name="Column8" dataDxfId="80"/>
    <tableColumn id="9" xr3:uid="{78B4B84D-9352-4AA7-94A5-5B9F07C2BAA9}" name="Column9" dataDxfId="79"/>
  </tableColumns>
  <tableStyleInfo name="Table Style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8CF930-E3C0-4358-9226-37D29477A430}" name="EquipmentPA" displayName="EquipmentPA" ref="A52:I55" headerRowCount="0" totalsRowShown="0">
  <tableColumns count="9">
    <tableColumn id="1" xr3:uid="{51B225C0-AE20-4637-886E-7B6C1CE9433D}" name="Column1"/>
    <tableColumn id="2" xr3:uid="{FA68414A-4655-43B1-B793-4D2CF8EC320E}" name="Column2"/>
    <tableColumn id="3" xr3:uid="{B344C9C6-ABBD-46FE-8393-1C69164EA340}" name="Column3" dataDxfId="78"/>
    <tableColumn id="4" xr3:uid="{788AFD2E-B7C3-479F-A37A-2288204B6410}" name="Column4" dataDxfId="77">
      <calculatedColumnFormula>EquipmentPA[[#This Row],[Column2]]*EquipmentPA[[#This Row],[Column3]]</calculatedColumnFormula>
    </tableColumn>
    <tableColumn id="5" xr3:uid="{843111EA-D9A2-4C60-82F4-2D1E3AAF06A4}" name="Column5" dataDxfId="76"/>
    <tableColumn id="6" xr3:uid="{F765E7F2-56D9-4A0B-9B27-94A1AA013171}" name="Column6" dataDxfId="75"/>
    <tableColumn id="7" xr3:uid="{31DBF859-FC1A-4CA7-9625-98325F1D62D7}" name="Column7" dataDxfId="74"/>
    <tableColumn id="8" xr3:uid="{A9EB2F35-A243-46F7-BCB3-6D8B398227ED}" name="Column8" dataDxfId="73"/>
    <tableColumn id="9" xr3:uid="{3D26D66F-6904-46DE-8CE3-E7BFE41965EF}" name="Column9" dataDxfId="72"/>
  </tableColumns>
  <tableStyleInfo name="Table Style 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C7F11C4-274B-47F3-8CBD-2984E0D82C15}" name="Supplies" displayName="Supplies" ref="A62:I65" headerRowCount="0" totalsRowShown="0">
  <tableColumns count="9">
    <tableColumn id="1" xr3:uid="{2F4E56E8-40D1-4DD9-AFD0-622B88F704FF}" name="Column1"/>
    <tableColumn id="2" xr3:uid="{6B8D9BB0-FBB2-4A67-A2EB-38957DDC890B}" name="Column2"/>
    <tableColumn id="3" xr3:uid="{F672B973-8C97-48A7-9B57-B5F0622C53F1}" name="Column3" dataDxfId="71"/>
    <tableColumn id="4" xr3:uid="{9482CD91-A8C3-4E7E-B75E-2911D5ED3BF0}" name="Column4" dataDxfId="70">
      <calculatedColumnFormula>Supplies[[#This Row],[Column2]]*Supplies[[#This Row],[Column3]]</calculatedColumnFormula>
    </tableColumn>
    <tableColumn id="5" xr3:uid="{DB7C94EB-57A7-471B-888F-75FDAEF604BF}" name="Column5" dataDxfId="69"/>
    <tableColumn id="6" xr3:uid="{29D034B0-3DAD-47FC-BD41-FB0C41F25A05}" name="Column6" dataDxfId="68"/>
    <tableColumn id="7" xr3:uid="{328398C3-C87F-49F6-862A-2B44F8224C6B}" name="Column7" dataDxfId="67"/>
    <tableColumn id="8" xr3:uid="{F8629219-799D-4D69-9572-73DF8626FD3A}" name="Column8" dataDxfId="66"/>
    <tableColumn id="9" xr3:uid="{58C0BE30-52C5-4CDE-B816-1EBE89AB0767}" name="Column9" dataDxfId="65"/>
  </tableColumns>
  <tableStyleInfo name="Table Style 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3922B21-14A2-4739-A693-137EBAF9A1F0}" name="Subrecipients" displayName="Subrecipients" ref="A72:I75" headerRowCount="0" totalsRowShown="0">
  <tableColumns count="9">
    <tableColumn id="1" xr3:uid="{50FE999E-D741-477D-B5C5-FBB6A2E93E16}" name="Column1"/>
    <tableColumn id="2" xr3:uid="{000CDBD9-F72C-4840-B8D0-08A1640BB40D}" name="Column2" dataDxfId="64"/>
    <tableColumn id="3" xr3:uid="{364C3141-AA68-49FA-86D2-62EC5FEDC04B}" name="Column3" dataDxfId="63"/>
    <tableColumn id="4" xr3:uid="{287A824E-16BF-4375-AC38-ADF1F8A05A3A}" name="Column4" dataDxfId="62"/>
    <tableColumn id="5" xr3:uid="{E6D40DCA-C666-4960-8A08-E548732E6D5D}" name="Column5" dataDxfId="61"/>
    <tableColumn id="6" xr3:uid="{5D813917-A755-4950-98F1-FDC5896B5929}" name="Column6" dataDxfId="60"/>
    <tableColumn id="7" xr3:uid="{2857D8EA-8544-46DC-BA9F-360849C045A8}" name="Column7" dataDxfId="59"/>
    <tableColumn id="8" xr3:uid="{30C152ED-ACAF-467E-B9DC-C76E0186A77F}" name="Column8" dataDxfId="58"/>
    <tableColumn id="9" xr3:uid="{DA7A5417-40FD-4110-BED9-7AD4C8B8941B}" name="Column9" dataDxfId="57"/>
  </tableColumns>
  <tableStyleInfo name="Table Sty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8CC1FFC-300F-4059-843C-55CEB83273AD}" name="Land" displayName="Land" ref="A34:J37" headerRowCount="0" totalsRowShown="0" headerRowDxfId="230" dataDxfId="229">
  <tableColumns count="10">
    <tableColumn id="1" xr3:uid="{75025A91-342B-43C6-B2E0-6C2BEF109930}" name="Column1" dataDxfId="228"/>
    <tableColumn id="2" xr3:uid="{DA1686DE-D74F-40EB-B8AE-170AE02C2CEC}" name="Column2" dataDxfId="227"/>
    <tableColumn id="10" xr3:uid="{862BDB3C-457F-4494-9AD5-29EAA44EE14E}" name="Column10" dataDxfId="226">
      <calculatedColumnFormula>"Acres"</calculatedColumnFormula>
    </tableColumn>
    <tableColumn id="3" xr3:uid="{1153CFDA-0628-404B-9C74-C8144A8DD96D}" name="Column3" dataDxfId="225"/>
    <tableColumn id="4" xr3:uid="{86E6B313-27CD-4E84-9067-01C1D18D5A39}" name="Column4" dataDxfId="224"/>
    <tableColumn id="5" xr3:uid="{73085893-7634-47CE-A989-83F0AAB8E9FC}" name="Column5" dataDxfId="223"/>
    <tableColumn id="6" xr3:uid="{CE91B5FD-3D22-4DF0-BB2A-12C4F45E7795}" name="Column6" dataDxfId="222"/>
    <tableColumn id="7" xr3:uid="{0FD2F3C2-ADE1-45C0-B411-9612A5FE9DA0}" name="Column7" dataDxfId="221"/>
    <tableColumn id="8" xr3:uid="{C4A8C290-A336-4EE5-BD9C-4ED963DC0A70}" name="Column8" dataDxfId="220"/>
    <tableColumn id="9" xr3:uid="{DBA74BFE-B7F0-4E2D-8C03-D0C6E1CD375E}" name="Column9" dataDxfId="219"/>
  </tableColumns>
  <tableStyleInfo name="Table Style 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D839E42-6251-4E47-B183-196288CD1683}" name="Contractors" displayName="Contractors" ref="A82:I85" headerRowCount="0" totalsRowShown="0">
  <tableColumns count="9">
    <tableColumn id="1" xr3:uid="{479F9F06-F57A-479F-930D-F61406AC0D67}" name="Column1"/>
    <tableColumn id="2" xr3:uid="{1C361CB0-E6E5-493F-928C-BA0AB0768FC5}" name="Column2" dataDxfId="56"/>
    <tableColumn id="3" xr3:uid="{AE884BFC-3BFD-4626-9099-C0AF2A48082E}" name="Column3" dataDxfId="55"/>
    <tableColumn id="4" xr3:uid="{A6899CC4-EA19-47F7-BC86-2DFAA5DB617E}" name="Column4" dataDxfId="54"/>
    <tableColumn id="5" xr3:uid="{4EB4CB86-6F7E-40E9-8997-EEB8E6725192}" name="Column5" dataDxfId="53"/>
    <tableColumn id="6" xr3:uid="{B0F12F07-AFD6-4099-8ED3-302C0C3F28BF}" name="Column6" dataDxfId="52"/>
    <tableColumn id="7" xr3:uid="{887104B0-9C7A-4878-9FCD-BE55CD0D5CC1}" name="Column7" dataDxfId="51"/>
    <tableColumn id="8" xr3:uid="{7F720FA3-39D0-40BD-B551-58C403796A1A}" name="Column8" dataDxfId="50"/>
    <tableColumn id="9" xr3:uid="{A95AADE6-C0F5-4C38-A473-29DFDFAF92AC}" name="Column9" dataDxfId="49"/>
  </tableColumns>
  <tableStyleInfo name="Table Style 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3855C06-56CB-479F-98A1-9C6F095ED93E}" name="ConstructionPA" displayName="ConstructionPA" ref="A90:H91" headerRowCount="0" totalsRowShown="0">
  <tableColumns count="8">
    <tableColumn id="1" xr3:uid="{ABC65340-12B8-48A9-88C2-F1C65FFBCEEF}" name="Column1"/>
    <tableColumn id="2" xr3:uid="{7F921A34-2CE1-4354-BB28-0185AF493E25}" name="Column2"/>
    <tableColumn id="3" xr3:uid="{63D78721-92C5-4DBE-B959-E977F150D9BB}" name="Column3" dataDxfId="48"/>
    <tableColumn id="4" xr3:uid="{B69104E9-A6CD-4879-88D0-8C12F9E5EEE0}" name="Column4" dataDxfId="47">
      <calculatedColumnFormula>ConstructionPA[[#This Row],[Column2]]*ConstructionPA[[#This Row],[Column3]]</calculatedColumnFormula>
    </tableColumn>
    <tableColumn id="5" xr3:uid="{CE4F27CC-36A4-4E26-849A-DABD5D1CBC45}" name="Column5" dataDxfId="46"/>
    <tableColumn id="6" xr3:uid="{0B6E9CDB-915F-4C8A-85D2-85C32CBCB4C2}" name="Column6" dataDxfId="45"/>
    <tableColumn id="7" xr3:uid="{F9D5B1C5-DB0B-44A0-84E9-3A0C1CDA1D75}" name="Column7" dataDxfId="44"/>
    <tableColumn id="8" xr3:uid="{536D7D7D-B92D-4B30-80D0-9CAC73F38C97}" name="Column8" dataDxfId="43"/>
  </tableColumns>
  <tableStyleInfo name="Table Style 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DC45E67-2BB8-4917-8A49-9B47A12C3ADD}" name="Other" displayName="Other" ref="A96:H99" headerRowCount="0" totalsRowShown="0">
  <tableColumns count="8">
    <tableColumn id="1" xr3:uid="{FB8C5487-9C31-4AD1-B8F0-7B1B68026526}" name="Column1"/>
    <tableColumn id="2" xr3:uid="{B08C0355-B8E1-40E8-8468-C3A7472AA8C6}" name="Column2"/>
    <tableColumn id="3" xr3:uid="{75FBBBB1-37A6-4B49-9DA9-8FE02F946B65}" name="Column3" dataDxfId="42"/>
    <tableColumn id="4" xr3:uid="{B5249924-F777-4E06-9A85-C1481215C5B4}" name="Column4" dataDxfId="41">
      <calculatedColumnFormula>Other[[#This Row],[Column2]]*Other[[#This Row],[Column3]]</calculatedColumnFormula>
    </tableColumn>
    <tableColumn id="5" xr3:uid="{2D9515B1-03B8-4357-8624-B41CD9C13758}" name="Column5" dataDxfId="40"/>
    <tableColumn id="6" xr3:uid="{9E6E85B5-B4CA-4408-9220-EC61768A75F0}" name="Column6" dataDxfId="39"/>
    <tableColumn id="7" xr3:uid="{B353E732-9165-4DA4-BA6C-80B50D28DAB2}" name="Column7" dataDxfId="38"/>
    <tableColumn id="8" xr3:uid="{9D3A1CEA-5229-4834-9D7F-B48A01CAEAE7}" name="Column8" dataDxfId="37"/>
  </tableColumns>
  <tableStyleInfo name="Table Style 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188DFEE-8AA0-40B3-92DD-94604DE1E168}" name="IndirectPA" displayName="IndirectPA" ref="A105:H106" headerRowCount="0" totalsRowShown="0">
  <tableColumns count="8">
    <tableColumn id="1" xr3:uid="{8799DCF9-04DF-4478-A5CE-1150AA80FBD3}" name="Column1"/>
    <tableColumn id="2" xr3:uid="{1D24DD07-0ED9-412E-812B-F71DEF145B38}" name="Column2"/>
    <tableColumn id="3" xr3:uid="{4BC7A396-168E-4C22-9EB3-A2650FE0ADDE}" name="Column3" dataDxfId="36"/>
    <tableColumn id="4" xr3:uid="{ABEC05DA-B38D-48B3-82CF-1EE14EAC10F1}" name="Column4" dataDxfId="35"/>
    <tableColumn id="5" xr3:uid="{355A80DF-F863-4A54-8C22-B0B0A815CD5F}" name="Column5" dataDxfId="34">
      <calculatedColumnFormula>ROUNDUP(IndirectPA[[#This Row],[Column4]]*IndirectPA[[#This Row],[Column3]], 2)</calculatedColumnFormula>
    </tableColumn>
    <tableColumn id="6" xr3:uid="{4A186919-83FC-4A2B-BE96-60EF2CBC3782}" name="Column6" dataDxfId="33"/>
    <tableColumn id="7" xr3:uid="{190BA9BB-DD1A-4399-ACE3-F28CCE71DAD1}" name="Column7" dataDxfId="32"/>
    <tableColumn id="8" xr3:uid="{981FC786-8B68-46C9-AB91-A490CE74AC00}" name="Column8" dataDxfId="31"/>
  </tableColumns>
  <tableStyleInfo name="Table Style 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0992618-3330-4DF7-8129-99DCBFC228DC}" name="DevAcqTotals" displayName="DevAcqTotals" ref="A2:P5" totalsRowShown="0" headerRowDxfId="30">
  <autoFilter ref="A2:P5" xr:uid="{80992618-3330-4DF7-8129-99DCBFC228DC}"/>
  <tableColumns count="16">
    <tableColumn id="1" xr3:uid="{B22D6F0D-7147-418F-A1F7-74C787584062}" name="RowID"/>
    <tableColumn id="2" xr3:uid="{66D50683-455C-4461-A1ED-FA40B05E4DE8}" name="Category" dataDxfId="29"/>
    <tableColumn id="3" xr3:uid="{85719863-9EE9-41E4-A524-D28AC01F195A}" name="Administration _x000a_and legal _x000a_expenses"/>
    <tableColumn id="4" xr3:uid="{5E4502AC-5828-4691-A50E-1ABFF636CE37}" name="Acquisition Only: Land, structures, rights-of-way, etc." dataDxfId="28"/>
    <tableColumn id="5" xr3:uid="{0A8DCE9A-D3A6-4BC8-B16D-C2A17D8BD98E}" name="Acquistion Only: Relocation expenses and payments" dataDxfId="27"/>
    <tableColumn id="6" xr3:uid="{A5416207-C655-460D-8228-FBF0FA487255}" name="Architectural and engineering fees" dataDxfId="26"/>
    <tableColumn id="7" xr3:uid="{BFB9A517-3D06-4452-80C6-7277144D37E9}" name="Project inspection fees" dataDxfId="25"/>
    <tableColumn id="8" xr3:uid="{342E18F5-37CF-41E1-AEBA-88DCCF285492}" name="Site work" dataDxfId="24"/>
    <tableColumn id="9" xr3:uid="{BCF26E09-839C-4DE8-BE0B-0166AFAA02FD}" name="Demolition and Removal" dataDxfId="23"/>
    <tableColumn id="10" xr3:uid="{93D5E288-292B-47E8-8BDA-EC197A284597}" name="Construction" dataDxfId="22"/>
    <tableColumn id="11" xr3:uid="{957E2781-D825-4109-8640-5723EFFE4183}" name="Equipment" dataDxfId="21"/>
    <tableColumn id="12" xr3:uid="{68E36E99-B76B-4B00-B1A3-81529C967FB7}" name="Miscellaneous" dataDxfId="20"/>
    <tableColumn id="13" xr3:uid="{ED46847D-B786-44BD-A820-DAB4D404008C}" name="Contingency Costs" dataDxfId="19"/>
    <tableColumn id="14" xr3:uid="{ADB34A39-1F37-4D71-B50D-606B3887FB70}" name="Indirect Costs" dataDxfId="18"/>
    <tableColumn id="15" xr3:uid="{1B5AC7E8-69C2-4881-88F0-3181DF9D683E}" name="CategoryTotal" dataDxfId="17">
      <calculatedColumnFormula>SUM(DevAcqTotals[[#This Row],[Administration 
and legal 
expenses]:[Indirect Costs]])</calculatedColumnFormula>
    </tableColumn>
    <tableColumn id="16" xr3:uid="{AD51C4CF-7D2E-41AE-97CB-FADC6F3F0EE7}" name="Pre-Award Costs Amount"/>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DDB56F0-D751-4C2F-BA63-1AAD775D76E2}" name="DevAcqData" displayName="DevAcqData" ref="A8:I9" totalsRowShown="0" headerRowDxfId="16">
  <autoFilter ref="A8:I9" xr:uid="{EDDB56F0-D751-4C2F-BA63-1AAD775D76E2}"/>
  <tableColumns count="9">
    <tableColumn id="1" xr3:uid="{BFC7BF06-809F-4A95-891D-EDCF5A36DBCD}" name="RowID"/>
    <tableColumn id="2" xr3:uid="{6F9477F2-CBC5-4E98-9EC1-1E05271C3795}" name="Project Title">
      <calculatedColumnFormula>_xlfn.CONCAT('Park Development &amp; Acquisition'!B5:D5)</calculatedColumnFormula>
    </tableColumn>
    <tableColumn id="3" xr3:uid="{1FBE7591-6D93-42C7-B253-0DB53AF8C6D8}" name="LWCF Legacy Number">
      <calculatedColumnFormula>_xlfn.CONCAT('Park Development &amp; Acquisition'!B7:D7)</calculatedColumnFormula>
    </tableColumn>
    <tableColumn id="4" xr3:uid="{0A7EC88E-A03D-44C3-950C-0D75960959F2}" name="Recipient Name">
      <calculatedColumnFormula>_xlfn.CONCAT('Park Development &amp; Acquisition'!B9:D9)</calculatedColumnFormula>
    </tableColumn>
    <tableColumn id="5" xr3:uid="{A2DF5206-DC4D-45A2-B036-C3030C880986}" name="Subrecipient Name">
      <calculatedColumnFormula>_xlfn.CONCAT('Park Development &amp; Acquisition'!B11:D11)</calculatedColumnFormula>
    </tableColumn>
    <tableColumn id="6" xr3:uid="{AACBFC82-6A83-4DFF-BCFB-4EA24D4467F9}" name="Start Date of Pre-Award Costs" dataDxfId="15">
      <calculatedColumnFormula>IF(ISBLANK('Park Development &amp; Acquisition'!B13), "", 'Park Development &amp; Acquisition'!B13)</calculatedColumnFormula>
    </tableColumn>
    <tableColumn id="7" xr3:uid="{A4B8A74A-B0F7-4083-9DC8-4473459B351E}" name="Source of Non-Federal Share">
      <calculatedColumnFormula>_xlfn.CONCAT('Park Development &amp; Acquisition'!B16:D17)</calculatedColumnFormula>
    </tableColumn>
    <tableColumn id="8" xr3:uid="{8B027869-05F1-40C2-A436-AA499C8EA090}" name="Cost Methodology">
      <calculatedColumnFormula>_xlfn.CONCAT('Park Development &amp; Acquisition'!B19:D20)</calculatedColumnFormula>
    </tableColumn>
    <tableColumn id="9" xr3:uid="{A123CC92-8ADF-4C38-80D3-E7B4C40AF42F}" name="Contingency Methodology">
      <calculatedColumnFormula>_xlfn.CONCAT('Park Development &amp; Acquisition'!D110:I110)</calculatedColumnFormula>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DD13381-730A-403A-A4F5-6FFF9E0B279F}" name="PlanningAdminTotals" displayName="PlanningAdminTotals" ref="A12:N15" totalsRowShown="0" headerRowDxfId="14">
  <autoFilter ref="A12:N15" xr:uid="{1DD13381-730A-403A-A4F5-6FFF9E0B279F}"/>
  <tableColumns count="14">
    <tableColumn id="1" xr3:uid="{7949A9AE-8769-4445-B29C-F75934038525}" name="RowID"/>
    <tableColumn id="2" xr3:uid="{B26A7F59-AA06-4DD3-9075-812056FDB4A1}" name="Category" dataDxfId="13"/>
    <tableColumn id="3" xr3:uid="{80C3A06D-43E5-4A10-9593-090C89AD48ED}" name="Personnel"/>
    <tableColumn id="4" xr3:uid="{A1C49AD0-FCBF-498E-8B1E-66DDFAC610C7}" name="Fringe Benefits" dataDxfId="12"/>
    <tableColumn id="5" xr3:uid="{A01FFD6B-43CB-455E-A9DB-EA0BB9AD27B7}" name="Travel" dataDxfId="11"/>
    <tableColumn id="6" xr3:uid="{EDA355B9-BFDD-468B-895F-C5C2AA99DACE}" name="Equipment" dataDxfId="10"/>
    <tableColumn id="7" xr3:uid="{00EE4761-E907-4E1D-B2B4-AE1137D5651B}" name="Supplies" dataDxfId="9"/>
    <tableColumn id="8" xr3:uid="{7BB93180-8D31-419E-85A1-780FF0E21BD3}" name="Subrecipients" dataDxfId="8"/>
    <tableColumn id="9" xr3:uid="{D321E8C2-BB71-4AA2-99D0-B922FE254684}" name="Contractors" dataDxfId="7"/>
    <tableColumn id="10" xr3:uid="{D7D5C110-262E-4ECD-9B75-7FE3120B574C}" name="Construction" dataDxfId="6"/>
    <tableColumn id="11" xr3:uid="{92D8AA03-8021-47DA-91D3-6A5BA0CC9348}" name="Other Direct Costs" dataDxfId="5"/>
    <tableColumn id="12" xr3:uid="{A0CAF49F-AE59-4374-A041-D198AD3E8EE3}" name="Indirect Costs" dataDxfId="4"/>
    <tableColumn id="13" xr3:uid="{B9023E8C-1EB2-4620-83FF-5230A7F53120}" name="CategoryTotal" dataDxfId="3">
      <calculatedColumnFormula>SUM(PlanningAdminTotals[[#This Row],[Personnel]:[Indirect Costs]])</calculatedColumnFormula>
    </tableColumn>
    <tableColumn id="14" xr3:uid="{7EF1DF31-5041-4063-8BB1-6A5D64A6C6E8}" name="Pre-Award Costs Amount" dataDxfId="2">
      <calculatedColumnFormula>SUM(Personnel[Column8], Fringe[Column7], EquipmentPA[Column7], Supplies[Column7], Subrecipients[Column7], Contractors[Column7], ConstructionPA[Column7], Other[Column7])</calculatedColumnFormula>
    </tableColum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5C24D46-65BE-4E3E-B5C0-B091931BB56A}" name="PlanningAdminData" displayName="PlanningAdminData" ref="A18:F19" totalsRowShown="0" tableBorderDxfId="1">
  <autoFilter ref="A18:F19" xr:uid="{35C24D46-65BE-4E3E-B5C0-B091931BB56A}"/>
  <tableColumns count="6">
    <tableColumn id="1" xr3:uid="{9814E6DD-3245-4EF5-8A79-D1D3BCB81F58}" name="RowID" dataDxfId="0"/>
    <tableColumn id="2" xr3:uid="{11378D00-76A4-4BA3-A06E-F4E34A8FADF6}" name="Project Title">
      <calculatedColumnFormula>_xlfn.CONCAT('Planning &amp; Admin'!B5:D5)</calculatedColumnFormula>
    </tableColumn>
    <tableColumn id="3" xr3:uid="{E40B0BF8-4396-4851-BB57-AE0AA876A38C}" name="LWCF Legacy Number">
      <calculatedColumnFormula>_xlfn.CONCAT('Planning &amp; Admin'!B7:D7)</calculatedColumnFormula>
    </tableColumn>
    <tableColumn id="4" xr3:uid="{0BCD6C9F-029E-4A10-9873-D9EF093E7A60}" name="Recipient Name">
      <calculatedColumnFormula>_xlfn.CONCAT('Planning &amp; Admin'!B9:D9)</calculatedColumnFormula>
    </tableColumn>
    <tableColumn id="5" xr3:uid="{73C392C5-DC2C-41B8-B39C-D57CC5EF856B}" name="Start Date of Pre-Award Costs">
      <calculatedColumnFormula>IF(ISBLANK('Planning &amp; Admin'!B11), "", 'Planning &amp; Admin'!B11)</calculatedColumnFormula>
    </tableColumn>
    <tableColumn id="6" xr3:uid="{35C9AD8E-A5B1-4795-BAC3-31C1C3958AAE}" name="Source of Non-Federal Share">
      <calculatedColumnFormula>_xlfn.CONCAT('Planning &amp; Admin'!B14:D15)</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7C88BA2-00CE-4770-A4EA-72D0257C37BB}" name="Relocation" displayName="Relocation" ref="A42:J42" headerRowCount="0" totalsRowShown="0" headerRowDxfId="218" dataDxfId="217">
  <tableColumns count="10">
    <tableColumn id="1" xr3:uid="{B07BF04B-BDE3-4218-A86E-F489CEF2B1CB}" name="Column1" dataDxfId="216"/>
    <tableColumn id="2" xr3:uid="{E9350CBD-75C5-4D3E-9C02-18B046E10920}" name="Column2" dataDxfId="215"/>
    <tableColumn id="10" xr3:uid="{60390DE0-4CDF-4C15-8A30-2666F4E89836}" name="Column10" dataDxfId="214"/>
    <tableColumn id="3" xr3:uid="{72A61362-81EB-4499-AC0A-40D66686D5E9}" name="Column3" dataDxfId="213"/>
    <tableColumn id="4" xr3:uid="{F46E0E71-4FC9-43DD-AB5E-1073F3E999AD}" name="Column4" dataDxfId="212">
      <calculatedColumnFormula>Relocation[[#This Row],[Column2]]*Relocation[[#This Row],[Column3]]</calculatedColumnFormula>
    </tableColumn>
    <tableColumn id="5" xr3:uid="{497A2F63-F219-4EAD-A7E8-41583F9206E7}" name="Column5" dataDxfId="211"/>
    <tableColumn id="6" xr3:uid="{A6A73E29-B282-4C49-AA27-E5C2E22A1BDA}" name="Column6" dataDxfId="210"/>
    <tableColumn id="7" xr3:uid="{34659541-1031-4176-B936-90BBBA3990C5}" name="Column7" dataDxfId="209"/>
    <tableColumn id="8" xr3:uid="{00EC64F2-B6F1-463F-83B2-3BC01E7FFE7F}" name="Column8" dataDxfId="208"/>
    <tableColumn id="9" xr3:uid="{C6767453-517B-45EF-9D81-3BC23FE7F40F}" name="Column9" dataDxfId="207"/>
  </tableColumns>
  <tableStyleInfo name="Table Sty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4F28D4F-2FAB-4706-A3B6-18F03F50453E}" name="ArchitectEngineering" displayName="ArchitectEngineering" ref="A48:J51" headerRowCount="0" totalsRowShown="0" headerRowDxfId="206" dataDxfId="205">
  <tableColumns count="10">
    <tableColumn id="1" xr3:uid="{F2CDD0F9-8030-4899-9782-7867B9D7184E}" name="Column1" dataDxfId="204"/>
    <tableColumn id="2" xr3:uid="{E42DDBC0-7B9F-4319-A18D-2A09A9FB951D}" name="Column2" dataDxfId="203"/>
    <tableColumn id="10" xr3:uid="{4E5E95A1-611C-4470-9697-EC032E09BB5E}" name="Column10" dataDxfId="202"/>
    <tableColumn id="3" xr3:uid="{3B7F0F45-B13E-42EE-A0CA-BF81BB0A30EE}" name="Column3" dataDxfId="201"/>
    <tableColumn id="4" xr3:uid="{545FF64A-3679-4641-8320-BB19B5379725}" name="Column4" dataDxfId="200">
      <calculatedColumnFormula>ArchitectEngineering[[#This Row],[Column2]]*ArchitectEngineering[[#This Row],[Column3]]</calculatedColumnFormula>
    </tableColumn>
    <tableColumn id="5" xr3:uid="{247410A9-5785-42BA-BFBD-E7B69125393B}" name="Column5" dataDxfId="199"/>
    <tableColumn id="6" xr3:uid="{301677BF-7700-4546-B484-E1A9A71E13D6}" name="Column6" dataDxfId="198"/>
    <tableColumn id="7" xr3:uid="{B0BD9D28-9087-4846-8837-E142C5E5709A}" name="Column7" dataDxfId="197"/>
    <tableColumn id="8" xr3:uid="{3BE5AED1-1FBA-4733-95BD-D1F87993525A}" name="Column8" dataDxfId="196"/>
    <tableColumn id="9" xr3:uid="{C1214CD2-F575-45D0-8CFE-9B6357CC94BD}" name="Column9" dataDxfId="195"/>
  </tableColumns>
  <tableStyleInfo name="Table Sty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FACCF5-E459-47C0-8114-2CBDFF581012}" name="Inspections" displayName="Inspections" ref="A57:J60" headerRowCount="0" totalsRowShown="0" headerRowDxfId="194" dataDxfId="193">
  <tableColumns count="10">
    <tableColumn id="1" xr3:uid="{DB5D890B-6D93-4C20-9278-C8870C2F7BAE}" name="Column1" dataDxfId="192"/>
    <tableColumn id="2" xr3:uid="{3F698603-DCD8-4557-B16D-C2EFD2CAC961}" name="Column2" dataDxfId="191"/>
    <tableColumn id="10" xr3:uid="{AAD35B45-6402-4DEB-A103-E44E7AE83DD8}" name="Column10" dataDxfId="190"/>
    <tableColumn id="3" xr3:uid="{133965E9-5FBD-46B2-9326-069C0B10920E}" name="Column3" dataDxfId="189"/>
    <tableColumn id="4" xr3:uid="{2E5D2C9E-9122-4E2E-AD02-DB7860D9D4A6}" name="Column4" dataDxfId="188">
      <calculatedColumnFormula>Inspections[[#This Row],[Column2]]*Inspections[[#This Row],[Column3]]</calculatedColumnFormula>
    </tableColumn>
    <tableColumn id="5" xr3:uid="{93974361-633C-4B9F-8780-B5BAFEE495FF}" name="Column5" dataDxfId="187"/>
    <tableColumn id="6" xr3:uid="{35796B19-5DEB-48C3-9A32-5D9B982ED25B}" name="Column6" dataDxfId="186"/>
    <tableColumn id="7" xr3:uid="{0827C6F6-B0B8-4490-9871-30E0DABECD68}" name="Column7" dataDxfId="185"/>
    <tableColumn id="8" xr3:uid="{F2839CB1-783C-43AE-88C6-C8542F67DF9B}" name="Column8" dataDxfId="184"/>
    <tableColumn id="9" xr3:uid="{AD5EBC53-F797-41E6-BA5E-7051162B644A}" name="Column9" dataDxfId="183"/>
  </tableColumns>
  <tableStyleInfo name="Table Sty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E9D6751-9198-4595-AC71-07B9DAB6764E}" name="SiteWork" displayName="SiteWork" ref="A66:J69" headerRowCount="0" totalsRowShown="0" headerRowDxfId="182" dataDxfId="181">
  <tableColumns count="10">
    <tableColumn id="1" xr3:uid="{9D285EFE-78D7-4BA0-BA69-FA30312D9E4C}" name="Column1" dataDxfId="180"/>
    <tableColumn id="2" xr3:uid="{8C353F56-5767-4A64-98C4-277B1BEB481F}" name="Column2" dataDxfId="179"/>
    <tableColumn id="10" xr3:uid="{14B5EAC5-D6B7-4C61-ACA4-CD37B01B52F0}" name="Column10" dataDxfId="178"/>
    <tableColumn id="3" xr3:uid="{65A905EA-2021-4668-AE0C-770C8A5E2B5A}" name="Column3" dataDxfId="177"/>
    <tableColumn id="4" xr3:uid="{DFAEEE96-DA96-4C2C-ABA0-BBEA2B912E17}" name="Column4" dataDxfId="176">
      <calculatedColumnFormula>SiteWork[[#This Row],[Column2]]*SiteWork[[#This Row],[Column3]]</calculatedColumnFormula>
    </tableColumn>
    <tableColumn id="5" xr3:uid="{14DEEE80-42EC-4DEE-B4D9-782BE6E7DAD2}" name="Column5" dataDxfId="175"/>
    <tableColumn id="6" xr3:uid="{042CD040-0D33-48DE-81F1-5C0C37EAA574}" name="Column6" dataDxfId="174"/>
    <tableColumn id="7" xr3:uid="{3DF56E4E-454C-42C9-B9BA-DB86ADF8632A}" name="Column7" dataDxfId="173"/>
    <tableColumn id="8" xr3:uid="{33EB62DC-32D5-45C7-BC8D-382A99F79E17}" name="Column8" dataDxfId="172"/>
    <tableColumn id="9" xr3:uid="{0AC8D69A-36C8-4709-AE83-7016A18A7555}" name="Column9" dataDxfId="171"/>
  </tableColumns>
  <tableStyleInfo name="Table Sty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74B7FD8-7B72-4788-B296-40B6690D7C1A}" name="Demolition" displayName="Demolition" ref="A75:J78" headerRowCount="0" totalsRowShown="0" headerRowDxfId="170" dataDxfId="169">
  <tableColumns count="10">
    <tableColumn id="1" xr3:uid="{9EE902E9-CA19-4342-AAD9-1215085B01EA}" name="Column1" dataDxfId="168"/>
    <tableColumn id="2" xr3:uid="{3DA1E0E3-437E-42EC-AAF3-323D8BD37963}" name="Column2" dataDxfId="167"/>
    <tableColumn id="3" xr3:uid="{7E37A661-5BCB-4B0E-B788-53CEC7287EAE}" name="Column3" dataDxfId="166"/>
    <tableColumn id="10" xr3:uid="{722F92CC-24DA-432A-BF28-2B1429E2799E}" name="Column10" dataDxfId="165"/>
    <tableColumn id="4" xr3:uid="{99960D2A-1406-4C88-8D22-5168B4458E07}" name="Column4" dataDxfId="164">
      <calculatedColumnFormula>Demolition[[#This Row],[Column2]]*Demolition[[#This Row],[Column10]]</calculatedColumnFormula>
    </tableColumn>
    <tableColumn id="5" xr3:uid="{1C1D9544-0210-4344-A673-89F803C78DEB}" name="Column5" dataDxfId="163"/>
    <tableColumn id="6" xr3:uid="{00B8472C-6107-4983-96DB-0593C7257329}" name="Column6" dataDxfId="162"/>
    <tableColumn id="7" xr3:uid="{7F0F3CE1-BC27-4364-A561-E930BC60BE2E}" name="Column7" dataDxfId="161"/>
    <tableColumn id="8" xr3:uid="{5F39F55B-6430-4F45-AFD5-B7549FEB648A}" name="Column8" dataDxfId="160"/>
    <tableColumn id="9" xr3:uid="{89A641F9-FB4C-48E3-9DC9-9A0FA25B2F96}" name="Column9" dataDxfId="159"/>
  </tableColumns>
  <tableStyleInfo name="Table Style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629760B-BE0D-4057-B529-0649E477AB4B}" name="Construction" displayName="Construction" ref="A84:J87" headerRowCount="0" totalsRowShown="0" headerRowDxfId="158" dataDxfId="157">
  <tableColumns count="10">
    <tableColumn id="1" xr3:uid="{EA206F86-357F-4DB1-AD7F-05941CAAD65D}" name="Column1" dataDxfId="156"/>
    <tableColumn id="2" xr3:uid="{C366C25A-861A-42E4-8427-3001A9BFC616}" name="Column2" dataDxfId="155"/>
    <tableColumn id="10" xr3:uid="{0E967CA2-0AB9-4636-9B82-44C82D6C463B}" name="Column10" dataDxfId="154"/>
    <tableColumn id="3" xr3:uid="{0F5CBB84-7523-462E-8A42-61B907C38E50}" name="Column3" dataDxfId="153"/>
    <tableColumn id="4" xr3:uid="{F45515FE-B737-433D-9A89-B1ABC0464B80}" name="Column4" dataDxfId="152">
      <calculatedColumnFormula>Construction[[#This Row],[Column2]]*Construction[[#This Row],[Column3]]</calculatedColumnFormula>
    </tableColumn>
    <tableColumn id="5" xr3:uid="{5E75C506-942F-4F22-8EF3-17C564D18A81}" name="Column5" dataDxfId="151"/>
    <tableColumn id="6" xr3:uid="{CBEF7F1E-0B55-4760-AA30-61D837CB87B2}" name="Column6" dataDxfId="150"/>
    <tableColumn id="7" xr3:uid="{9408E1D2-F4C9-46B3-8E08-528600C56DEF}" name="Column7" dataDxfId="149"/>
    <tableColumn id="8" xr3:uid="{B644FEA3-384F-4580-BB7B-751047AEEB4F}" name="Column8" dataDxfId="148"/>
    <tableColumn id="9" xr3:uid="{2327827F-F093-42CF-9718-59A4D512BCAE}" name="Column9" dataDxfId="147"/>
  </tableColumns>
  <tableStyleInfo name="Table Style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A6BBA0D-97F5-4DDF-BF20-506C1910C1F6}" name="Equipment" displayName="Equipment" ref="A93:J96" headerRowCount="0" totalsRowShown="0" headerRowDxfId="146" dataDxfId="145">
  <tableColumns count="10">
    <tableColumn id="1" xr3:uid="{5CC865F9-DCB9-473A-87C5-2174A4C00F2A}" name="Column1" dataDxfId="144"/>
    <tableColumn id="2" xr3:uid="{AAC7449D-97EA-4225-95BC-2DB67486817E}" name="Column2" dataDxfId="143"/>
    <tableColumn id="10" xr3:uid="{EF339ADE-4412-43C6-B6A2-C261DE297B84}" name="Column10" dataDxfId="142"/>
    <tableColumn id="3" xr3:uid="{84E06912-C958-4CD7-B1A2-7C41E5D2CC42}" name="Column3" dataDxfId="141"/>
    <tableColumn id="4" xr3:uid="{E13EF213-EB1B-46FD-AA70-BE9DE854013F}" name="Column4" dataDxfId="140">
      <calculatedColumnFormula>Equipment[[#This Row],[Column2]]*Equipment[[#This Row],[Column3]]</calculatedColumnFormula>
    </tableColumn>
    <tableColumn id="5" xr3:uid="{C3DF8B30-714D-4F0B-93E4-9F58CEBC7233}" name="Column5" dataDxfId="139"/>
    <tableColumn id="6" xr3:uid="{52F7B40B-2BBB-414E-ADD9-74688E9DD5C4}" name="Column6" dataDxfId="138"/>
    <tableColumn id="7" xr3:uid="{753FC5CA-ED0F-4F28-8B22-91E1420DA757}" name="Column7" dataDxfId="137"/>
    <tableColumn id="8" xr3:uid="{D90FB964-2725-4330-9519-F1992D04C3B8}" name="Column8" dataDxfId="136"/>
    <tableColumn id="9" xr3:uid="{717A0F2E-0EEC-4E49-89F6-A776BD3967CD}" name="Column9" dataDxfId="135"/>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table" Target="../tables/table14.xml"/><Relationship Id="rId1" Type="http://schemas.openxmlformats.org/officeDocument/2006/relationships/printerSettings" Target="../printerSettings/printerSettings4.bin"/><Relationship Id="rId6" Type="http://schemas.openxmlformats.org/officeDocument/2006/relationships/table" Target="../tables/table18.xml"/><Relationship Id="rId11" Type="http://schemas.openxmlformats.org/officeDocument/2006/relationships/table" Target="../tables/table23.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table" Target="../tables/table24.xml"/><Relationship Id="rId4" Type="http://schemas.openxmlformats.org/officeDocument/2006/relationships/table" Target="../tables/table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BA2AB-29DA-4B11-9891-3C486948ACA1}">
  <sheetPr>
    <pageSetUpPr fitToPage="1"/>
  </sheetPr>
  <dimension ref="A1:G21"/>
  <sheetViews>
    <sheetView showGridLines="0" tabSelected="1" zoomScale="120" zoomScaleNormal="120" workbookViewId="0">
      <selection activeCell="C25" sqref="C25"/>
    </sheetView>
  </sheetViews>
  <sheetFormatPr defaultRowHeight="14.45"/>
  <cols>
    <col min="1" max="1" width="9.5703125" customWidth="1"/>
    <col min="2" max="2" width="24.7109375" customWidth="1"/>
    <col min="3" max="3" width="31" customWidth="1"/>
    <col min="4" max="4" width="17" customWidth="1"/>
    <col min="5" max="5" width="21.28515625" customWidth="1"/>
    <col min="6" max="6" width="15.7109375" customWidth="1"/>
    <col min="7" max="7" width="22.28515625" customWidth="1"/>
  </cols>
  <sheetData>
    <row r="1" spans="1:7" ht="46.15" customHeight="1">
      <c r="A1" s="181" t="s">
        <v>0</v>
      </c>
      <c r="B1" s="182"/>
      <c r="C1" s="182"/>
      <c r="D1" s="182"/>
      <c r="E1" s="182"/>
      <c r="F1" s="182"/>
      <c r="G1" s="183"/>
    </row>
    <row r="2" spans="1:7" ht="33.6" customHeight="1" thickBot="1">
      <c r="A2" s="184" t="s">
        <v>1</v>
      </c>
      <c r="B2" s="185"/>
      <c r="C2" s="185"/>
      <c r="D2" s="185"/>
      <c r="E2" s="185"/>
      <c r="F2" s="185"/>
      <c r="G2" s="186"/>
    </row>
    <row r="3" spans="1:7" ht="29.65" customHeight="1" thickBot="1">
      <c r="A3" s="187" t="s">
        <v>2</v>
      </c>
      <c r="B3" s="188"/>
      <c r="C3" s="188"/>
      <c r="D3" s="188"/>
      <c r="E3" s="188"/>
      <c r="F3" s="188"/>
      <c r="G3" s="189"/>
    </row>
    <row r="4" spans="1:7" ht="159.6" customHeight="1">
      <c r="A4" s="190" t="s">
        <v>3</v>
      </c>
      <c r="B4" s="191"/>
      <c r="C4" s="191"/>
      <c r="D4" s="191"/>
      <c r="E4" s="191"/>
      <c r="F4" s="191"/>
      <c r="G4" s="192"/>
    </row>
    <row r="5" spans="1:7" ht="156.6" customHeight="1">
      <c r="A5" s="190" t="s">
        <v>4</v>
      </c>
      <c r="B5" s="191"/>
      <c r="C5" s="191"/>
      <c r="D5" s="191"/>
      <c r="E5" s="191"/>
      <c r="F5" s="191"/>
      <c r="G5" s="192"/>
    </row>
    <row r="6" spans="1:7" ht="201" customHeight="1">
      <c r="A6" s="190" t="s">
        <v>5</v>
      </c>
      <c r="B6" s="191"/>
      <c r="C6" s="191"/>
      <c r="D6" s="191"/>
      <c r="E6" s="191"/>
      <c r="F6" s="191"/>
      <c r="G6" s="192"/>
    </row>
    <row r="7" spans="1:7" ht="15" thickBot="1">
      <c r="A7" s="99"/>
      <c r="G7" s="100"/>
    </row>
    <row r="8" spans="1:7" ht="30" customHeight="1" thickBot="1">
      <c r="A8" s="187" t="s">
        <v>6</v>
      </c>
      <c r="B8" s="188"/>
      <c r="C8" s="188"/>
      <c r="D8" s="188"/>
      <c r="E8" s="188"/>
      <c r="F8" s="188"/>
      <c r="G8" s="189"/>
    </row>
    <row r="9" spans="1:7" ht="15.6" customHeight="1">
      <c r="A9" s="101" t="s">
        <v>7</v>
      </c>
      <c r="B9" s="3"/>
      <c r="C9" s="3"/>
      <c r="D9" s="3"/>
      <c r="E9" s="3"/>
      <c r="F9" s="3"/>
      <c r="G9" s="102"/>
    </row>
    <row r="10" spans="1:7" ht="40.9" customHeight="1">
      <c r="A10" s="178" t="s">
        <v>8</v>
      </c>
      <c r="B10" s="179"/>
      <c r="C10" s="179"/>
      <c r="D10" s="179"/>
      <c r="E10" s="179"/>
      <c r="F10" s="179"/>
      <c r="G10" s="180"/>
    </row>
    <row r="11" spans="1:7" ht="15.6" customHeight="1">
      <c r="A11" s="103"/>
      <c r="B11" s="151"/>
      <c r="C11" s="151"/>
      <c r="D11" s="151"/>
      <c r="E11" s="151"/>
      <c r="F11" s="151"/>
      <c r="G11" s="152"/>
    </row>
    <row r="12" spans="1:7">
      <c r="A12" s="101" t="s">
        <v>9</v>
      </c>
      <c r="G12" s="100"/>
    </row>
    <row r="13" spans="1:7" ht="90" customHeight="1">
      <c r="A13" s="178" t="s">
        <v>10</v>
      </c>
      <c r="B13" s="179"/>
      <c r="C13" s="179"/>
      <c r="D13" s="179"/>
      <c r="E13" s="179"/>
      <c r="F13" s="179"/>
      <c r="G13" s="180"/>
    </row>
    <row r="14" spans="1:7">
      <c r="A14" s="99"/>
      <c r="G14" s="100"/>
    </row>
    <row r="15" spans="1:7">
      <c r="A15" s="101" t="s">
        <v>11</v>
      </c>
      <c r="G15" s="100"/>
    </row>
    <row r="16" spans="1:7" ht="103.15" customHeight="1">
      <c r="A16" s="178" t="s">
        <v>12</v>
      </c>
      <c r="B16" s="179"/>
      <c r="C16" s="179"/>
      <c r="D16" s="179"/>
      <c r="E16" s="179"/>
      <c r="F16" s="179"/>
      <c r="G16" s="180"/>
    </row>
    <row r="17" spans="1:7">
      <c r="A17" s="99"/>
      <c r="G17" s="100"/>
    </row>
    <row r="18" spans="1:7">
      <c r="A18" s="101" t="s">
        <v>13</v>
      </c>
      <c r="G18" s="100"/>
    </row>
    <row r="19" spans="1:7" ht="102" customHeight="1">
      <c r="A19" s="178" t="s">
        <v>14</v>
      </c>
      <c r="B19" s="179"/>
      <c r="C19" s="179"/>
      <c r="D19" s="179"/>
      <c r="E19" s="179"/>
      <c r="F19" s="179"/>
      <c r="G19" s="180"/>
    </row>
    <row r="20" spans="1:7" ht="25.9" customHeight="1">
      <c r="A20" s="101" t="s">
        <v>15</v>
      </c>
      <c r="G20" s="100"/>
    </row>
    <row r="21" spans="1:7" ht="85.15" customHeight="1" thickBot="1">
      <c r="A21" s="175" t="s">
        <v>16</v>
      </c>
      <c r="B21" s="176"/>
      <c r="C21" s="176"/>
      <c r="D21" s="176"/>
      <c r="E21" s="176"/>
      <c r="F21" s="176"/>
      <c r="G21" s="177"/>
    </row>
  </sheetData>
  <mergeCells count="12">
    <mergeCell ref="A21:G21"/>
    <mergeCell ref="A19:G19"/>
    <mergeCell ref="A1:G1"/>
    <mergeCell ref="A2:G2"/>
    <mergeCell ref="A3:G3"/>
    <mergeCell ref="A4:G4"/>
    <mergeCell ref="A5:G5"/>
    <mergeCell ref="A16:G16"/>
    <mergeCell ref="A10:G10"/>
    <mergeCell ref="A13:G13"/>
    <mergeCell ref="A6:G6"/>
    <mergeCell ref="A8:G8"/>
  </mergeCells>
  <pageMargins left="0.25" right="0.25" top="0.75" bottom="0.75" header="0.3" footer="0.3"/>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E008F-1E8E-4B5F-A77F-542DB75D3D54}">
  <sheetPr>
    <pageSetUpPr fitToPage="1"/>
  </sheetPr>
  <dimension ref="A1:J139"/>
  <sheetViews>
    <sheetView showGridLines="0" zoomScale="115" zoomScaleNormal="115" workbookViewId="0">
      <selection activeCell="E135" sqref="E135"/>
    </sheetView>
  </sheetViews>
  <sheetFormatPr defaultRowHeight="14.45"/>
  <cols>
    <col min="1" max="1" width="46.7109375" customWidth="1"/>
    <col min="2" max="2" width="16.28515625" customWidth="1"/>
    <col min="3" max="3" width="19.28515625" customWidth="1"/>
    <col min="4" max="4" width="18.28515625" customWidth="1"/>
    <col min="5" max="5" width="16.7109375" customWidth="1"/>
    <col min="6" max="6" width="18.28515625" customWidth="1"/>
    <col min="7" max="8" width="16.28515625" customWidth="1"/>
    <col min="9" max="9" width="23.28515625" customWidth="1"/>
    <col min="10" max="10" width="48.28515625" customWidth="1"/>
  </cols>
  <sheetData>
    <row r="1" spans="1:9" ht="55.9" customHeight="1">
      <c r="A1" s="114" t="s">
        <v>17</v>
      </c>
      <c r="B1" s="73"/>
      <c r="C1" s="73"/>
      <c r="D1" s="73"/>
      <c r="E1" s="73"/>
      <c r="F1" s="73"/>
      <c r="G1" s="73"/>
      <c r="H1" s="73"/>
      <c r="I1" s="73"/>
    </row>
    <row r="2" spans="1:9" ht="15" thickBot="1"/>
    <row r="3" spans="1:9" s="5" customFormat="1" ht="25.15" customHeight="1" thickTop="1">
      <c r="A3" s="14" t="s">
        <v>18</v>
      </c>
      <c r="B3" s="15"/>
      <c r="C3" s="15"/>
      <c r="D3" s="16"/>
    </row>
    <row r="4" spans="1:9" s="5" customFormat="1" ht="10.9" customHeight="1">
      <c r="A4" s="105"/>
      <c r="D4" s="106"/>
    </row>
    <row r="5" spans="1:9" ht="17.649999999999999" customHeight="1">
      <c r="A5" s="17" t="s">
        <v>19</v>
      </c>
      <c r="B5" s="197"/>
      <c r="C5" s="197"/>
      <c r="D5" s="198"/>
    </row>
    <row r="6" spans="1:9" ht="17.649999999999999" customHeight="1">
      <c r="A6" s="18"/>
      <c r="B6" s="150"/>
      <c r="C6" s="150"/>
      <c r="D6" s="109"/>
    </row>
    <row r="7" spans="1:9" ht="17.649999999999999" customHeight="1">
      <c r="A7" s="18" t="s">
        <v>20</v>
      </c>
      <c r="B7" s="197"/>
      <c r="C7" s="197"/>
      <c r="D7" s="198"/>
    </row>
    <row r="8" spans="1:9" ht="17.649999999999999" customHeight="1">
      <c r="A8" s="18"/>
      <c r="B8" s="150"/>
      <c r="C8" s="150"/>
      <c r="D8" s="109"/>
    </row>
    <row r="9" spans="1:9" ht="36" customHeight="1">
      <c r="A9" s="112" t="s">
        <v>21</v>
      </c>
      <c r="B9" s="193"/>
      <c r="C9" s="193"/>
      <c r="D9" s="194"/>
    </row>
    <row r="10" spans="1:9" ht="17.649999999999999" customHeight="1">
      <c r="A10" s="18"/>
      <c r="B10" s="150"/>
      <c r="C10" s="150"/>
      <c r="D10" s="109"/>
    </row>
    <row r="11" spans="1:9" ht="17.649999999999999" customHeight="1">
      <c r="A11" s="18" t="s">
        <v>22</v>
      </c>
      <c r="B11" s="197"/>
      <c r="C11" s="197"/>
      <c r="D11" s="198"/>
    </row>
    <row r="12" spans="1:9" ht="17.649999999999999" customHeight="1">
      <c r="A12" s="18"/>
      <c r="B12" s="150"/>
      <c r="C12" s="150"/>
      <c r="D12" s="109"/>
    </row>
    <row r="13" spans="1:9" ht="17.649999999999999" customHeight="1">
      <c r="A13" s="19" t="s">
        <v>23</v>
      </c>
      <c r="B13" s="110"/>
      <c r="C13" s="150"/>
      <c r="D13" s="109"/>
    </row>
    <row r="14" spans="1:9" ht="14.65" customHeight="1">
      <c r="A14" s="20" t="s">
        <v>24</v>
      </c>
      <c r="B14" s="107"/>
      <c r="C14" s="107"/>
      <c r="D14" s="111"/>
    </row>
    <row r="15" spans="1:9" ht="17.649999999999999" customHeight="1">
      <c r="A15" s="20"/>
      <c r="B15" s="107"/>
      <c r="C15" s="107"/>
      <c r="D15" s="111"/>
    </row>
    <row r="16" spans="1:9" ht="14.65" customHeight="1">
      <c r="A16" s="148" t="s">
        <v>25</v>
      </c>
      <c r="B16" s="193"/>
      <c r="C16" s="193"/>
      <c r="D16" s="194"/>
    </row>
    <row r="17" spans="1:10" ht="44.65" customHeight="1">
      <c r="A17" s="149" t="s">
        <v>26</v>
      </c>
      <c r="B17" s="193"/>
      <c r="C17" s="193"/>
      <c r="D17" s="194"/>
    </row>
    <row r="18" spans="1:10" ht="17.649999999999999" customHeight="1">
      <c r="A18" s="20"/>
      <c r="B18" s="107"/>
      <c r="C18" s="107"/>
      <c r="D18" s="111"/>
    </row>
    <row r="19" spans="1:10" ht="14.65" customHeight="1">
      <c r="A19" s="18" t="s">
        <v>27</v>
      </c>
      <c r="B19" s="193"/>
      <c r="C19" s="193"/>
      <c r="D19" s="194"/>
    </row>
    <row r="20" spans="1:10" ht="118.15" customHeight="1" thickBot="1">
      <c r="A20" s="21" t="s">
        <v>28</v>
      </c>
      <c r="B20" s="195"/>
      <c r="C20" s="195"/>
      <c r="D20" s="196"/>
    </row>
    <row r="21" spans="1:10" s="5" customFormat="1" ht="43.9" customHeight="1" thickTop="1">
      <c r="A21" s="122" t="s">
        <v>29</v>
      </c>
      <c r="B21" s="123"/>
      <c r="C21" s="123"/>
      <c r="D21" s="123"/>
      <c r="E21" s="123"/>
      <c r="F21" s="123"/>
      <c r="G21" s="123"/>
      <c r="H21" s="123"/>
      <c r="I21" s="123"/>
      <c r="J21" s="123"/>
    </row>
    <row r="22" spans="1:10" ht="15" thickBot="1">
      <c r="A22" t="s">
        <v>30</v>
      </c>
    </row>
    <row r="23" spans="1:10" ht="30" thickTop="1" thickBot="1">
      <c r="A23" s="80" t="s">
        <v>31</v>
      </c>
      <c r="B23" s="80" t="s">
        <v>32</v>
      </c>
      <c r="C23" s="80" t="s">
        <v>33</v>
      </c>
      <c r="D23" s="80" t="s">
        <v>34</v>
      </c>
      <c r="E23" s="80" t="s">
        <v>35</v>
      </c>
      <c r="F23" s="80" t="s">
        <v>36</v>
      </c>
      <c r="G23" s="80" t="s">
        <v>37</v>
      </c>
      <c r="H23" s="80" t="s">
        <v>38</v>
      </c>
      <c r="I23" s="80" t="s">
        <v>39</v>
      </c>
      <c r="J23" s="80" t="s">
        <v>40</v>
      </c>
    </row>
    <row r="24" spans="1:10" ht="15" thickTop="1">
      <c r="A24" s="12" t="s">
        <v>41</v>
      </c>
      <c r="B24" s="12">
        <v>10</v>
      </c>
      <c r="C24" s="133" t="s">
        <v>42</v>
      </c>
      <c r="D24" s="124">
        <v>100</v>
      </c>
      <c r="E24" s="124">
        <v>1000</v>
      </c>
      <c r="F24" s="125">
        <v>500</v>
      </c>
      <c r="G24" s="125">
        <v>500</v>
      </c>
      <c r="H24" s="126">
        <v>1000</v>
      </c>
      <c r="I24" s="127" t="s">
        <v>43</v>
      </c>
      <c r="J24" s="127" t="s">
        <v>44</v>
      </c>
    </row>
    <row r="25" spans="1:10">
      <c r="A25" s="127"/>
      <c r="B25" s="107"/>
      <c r="C25" s="128"/>
      <c r="D25" s="129"/>
      <c r="E25" s="130">
        <f>AdminLegal[[#This Row],[Column2]]*AdminLegal[[#This Row],[Column4]]</f>
        <v>0</v>
      </c>
      <c r="F25" s="129"/>
      <c r="G25" s="129"/>
      <c r="H25" s="107"/>
      <c r="I25" s="107"/>
      <c r="J25" s="129"/>
    </row>
    <row r="26" spans="1:10">
      <c r="A26" s="107"/>
      <c r="B26" s="107"/>
      <c r="C26" s="128"/>
      <c r="D26" s="129"/>
      <c r="E26" s="130">
        <f>AdminLegal[[#This Row],[Column2]]*AdminLegal[[#This Row],[Column4]]</f>
        <v>0</v>
      </c>
      <c r="F26" s="129"/>
      <c r="G26" s="129"/>
      <c r="H26" s="107"/>
      <c r="I26" s="107"/>
      <c r="J26" s="129"/>
    </row>
    <row r="27" spans="1:10">
      <c r="A27" s="107"/>
      <c r="B27" s="107"/>
      <c r="C27" s="128"/>
      <c r="D27" s="129"/>
      <c r="E27" s="130">
        <f>AdminLegal[[#This Row],[Column2]]*AdminLegal[[#This Row],[Column4]]</f>
        <v>0</v>
      </c>
      <c r="F27" s="129"/>
      <c r="G27" s="129"/>
      <c r="H27" s="107"/>
      <c r="I27" s="107"/>
      <c r="J27" s="129"/>
    </row>
    <row r="28" spans="1:10">
      <c r="A28" s="107"/>
      <c r="B28" s="107"/>
      <c r="C28" s="128"/>
      <c r="D28" s="129"/>
      <c r="E28" s="130">
        <f>AdminLegal[[#This Row],[Column2]]*AdminLegal[[#This Row],[Column4]]</f>
        <v>0</v>
      </c>
      <c r="F28" s="129"/>
      <c r="G28" s="129"/>
      <c r="H28" s="107"/>
      <c r="I28" s="107"/>
      <c r="J28" s="129"/>
    </row>
    <row r="29" spans="1:10">
      <c r="A29" s="107"/>
      <c r="B29" s="107"/>
      <c r="C29" s="129"/>
      <c r="D29" s="129"/>
      <c r="E29" s="129"/>
      <c r="F29" s="129"/>
      <c r="G29" s="129"/>
      <c r="H29" s="129"/>
      <c r="I29" s="107"/>
      <c r="J29" s="107"/>
    </row>
    <row r="30" spans="1:10" s="5" customFormat="1" ht="32.65" customHeight="1">
      <c r="A30" s="158" t="s">
        <v>45</v>
      </c>
      <c r="B30" s="123"/>
      <c r="C30" s="123"/>
      <c r="D30" s="123"/>
      <c r="E30" s="123"/>
      <c r="F30" s="123"/>
      <c r="G30" s="123"/>
      <c r="H30" s="123"/>
      <c r="I30" s="123"/>
      <c r="J30" s="123"/>
    </row>
    <row r="31" spans="1:10" ht="15" thickBot="1">
      <c r="A31" t="s">
        <v>46</v>
      </c>
    </row>
    <row r="32" spans="1:10" ht="30" customHeight="1" thickTop="1" thickBot="1">
      <c r="A32" s="80" t="s">
        <v>47</v>
      </c>
      <c r="B32" s="80" t="s">
        <v>48</v>
      </c>
      <c r="C32" s="80" t="s">
        <v>33</v>
      </c>
      <c r="D32" s="80" t="s">
        <v>49</v>
      </c>
      <c r="E32" s="80" t="s">
        <v>36</v>
      </c>
      <c r="F32" s="80" t="s">
        <v>37</v>
      </c>
      <c r="G32" s="80" t="s">
        <v>38</v>
      </c>
      <c r="H32" s="80" t="s">
        <v>50</v>
      </c>
      <c r="I32" s="200" t="s">
        <v>40</v>
      </c>
      <c r="J32" s="202"/>
    </row>
    <row r="33" spans="1:10" ht="15" thickTop="1">
      <c r="A33" s="12" t="s">
        <v>51</v>
      </c>
      <c r="B33" s="12">
        <v>21</v>
      </c>
      <c r="C33" s="131" t="s">
        <v>52</v>
      </c>
      <c r="D33" s="124">
        <v>86000</v>
      </c>
      <c r="E33" s="125">
        <v>43000</v>
      </c>
      <c r="F33" s="125">
        <v>43000</v>
      </c>
      <c r="G33" s="126">
        <v>0</v>
      </c>
      <c r="H33" s="127" t="s">
        <v>43</v>
      </c>
      <c r="I33" s="11" t="s">
        <v>53</v>
      </c>
      <c r="J33" s="107"/>
    </row>
    <row r="34" spans="1:10">
      <c r="A34" s="107"/>
      <c r="B34" s="107"/>
      <c r="C34" s="113" t="str">
        <f t="shared" ref="C34:C37" si="0">"Acres"</f>
        <v>Acres</v>
      </c>
      <c r="D34" s="129"/>
      <c r="E34" s="129"/>
      <c r="F34" s="129"/>
      <c r="G34" s="129"/>
      <c r="H34" s="107"/>
      <c r="I34" s="132"/>
      <c r="J34" s="129"/>
    </row>
    <row r="35" spans="1:10">
      <c r="A35" s="107"/>
      <c r="B35" s="107"/>
      <c r="C35" s="113" t="str">
        <f t="shared" si="0"/>
        <v>Acres</v>
      </c>
      <c r="D35" s="129"/>
      <c r="E35" s="129"/>
      <c r="F35" s="129"/>
      <c r="G35" s="129"/>
      <c r="H35" s="107"/>
      <c r="I35" s="132"/>
      <c r="J35" s="129"/>
    </row>
    <row r="36" spans="1:10">
      <c r="A36" s="107"/>
      <c r="B36" s="107"/>
      <c r="C36" s="113" t="str">
        <f t="shared" si="0"/>
        <v>Acres</v>
      </c>
      <c r="D36" s="129"/>
      <c r="E36" s="129"/>
      <c r="F36" s="129"/>
      <c r="G36" s="129"/>
      <c r="H36" s="107"/>
      <c r="I36" s="132"/>
      <c r="J36" s="129"/>
    </row>
    <row r="37" spans="1:10">
      <c r="A37" s="107"/>
      <c r="B37" s="107"/>
      <c r="C37" s="113" t="str">
        <f t="shared" si="0"/>
        <v>Acres</v>
      </c>
      <c r="D37" s="129"/>
      <c r="E37" s="129"/>
      <c r="F37" s="129"/>
      <c r="G37" s="129"/>
      <c r="H37" s="107"/>
      <c r="I37" s="132"/>
      <c r="J37" s="129"/>
    </row>
    <row r="38" spans="1:10">
      <c r="A38" s="107"/>
      <c r="B38" s="107"/>
      <c r="C38" s="129"/>
      <c r="D38" s="129"/>
      <c r="E38" s="129"/>
      <c r="F38" s="129"/>
      <c r="G38" s="129"/>
      <c r="H38" s="129"/>
      <c r="I38" s="107"/>
      <c r="J38" s="107"/>
    </row>
    <row r="39" spans="1:10" s="5" customFormat="1" ht="32.65" customHeight="1">
      <c r="A39" s="122" t="s">
        <v>54</v>
      </c>
      <c r="B39" s="123"/>
      <c r="C39" s="123"/>
      <c r="D39" s="123"/>
      <c r="E39" s="123"/>
      <c r="F39" s="123"/>
      <c r="G39" s="123"/>
      <c r="H39" s="123"/>
      <c r="I39" s="123"/>
      <c r="J39" s="123"/>
    </row>
    <row r="40" spans="1:10" ht="15" thickBot="1">
      <c r="A40" t="s">
        <v>55</v>
      </c>
    </row>
    <row r="41" spans="1:10" ht="30" thickTop="1" thickBot="1">
      <c r="A41" s="80" t="s">
        <v>31</v>
      </c>
      <c r="B41" s="80" t="s">
        <v>32</v>
      </c>
      <c r="C41" s="80" t="s">
        <v>33</v>
      </c>
      <c r="D41" s="80" t="s">
        <v>34</v>
      </c>
      <c r="E41" s="80" t="s">
        <v>35</v>
      </c>
      <c r="F41" s="80" t="s">
        <v>36</v>
      </c>
      <c r="G41" s="80" t="s">
        <v>37</v>
      </c>
      <c r="H41" s="80" t="s">
        <v>38</v>
      </c>
      <c r="I41" s="80" t="s">
        <v>56</v>
      </c>
      <c r="J41" s="80" t="s">
        <v>40</v>
      </c>
    </row>
    <row r="42" spans="1:10" ht="15" thickTop="1">
      <c r="A42" s="107"/>
      <c r="B42" s="107"/>
      <c r="C42" s="113"/>
      <c r="D42" s="129"/>
      <c r="E42" s="130">
        <f>Relocation[[#This Row],[Column2]]*Relocation[[#This Row],[Column3]]</f>
        <v>0</v>
      </c>
      <c r="F42" s="129"/>
      <c r="G42" s="129"/>
      <c r="H42" s="129"/>
      <c r="I42" s="107"/>
      <c r="J42" s="129"/>
    </row>
    <row r="43" spans="1:10">
      <c r="A43" s="107"/>
      <c r="B43" s="107"/>
      <c r="C43" s="129"/>
      <c r="D43" s="129"/>
      <c r="E43" s="129"/>
      <c r="F43" s="129"/>
      <c r="G43" s="129"/>
      <c r="H43" s="129"/>
      <c r="I43" s="107"/>
      <c r="J43" s="107"/>
    </row>
    <row r="44" spans="1:10" s="5" customFormat="1" ht="32.65" customHeight="1">
      <c r="A44" s="122" t="s">
        <v>57</v>
      </c>
      <c r="B44" s="123"/>
      <c r="C44" s="123"/>
      <c r="D44" s="123"/>
      <c r="E44" s="123"/>
      <c r="F44" s="123"/>
      <c r="G44" s="123"/>
      <c r="H44" s="107"/>
      <c r="I44" s="123"/>
      <c r="J44" s="123"/>
    </row>
    <row r="45" spans="1:10" ht="15" thickBot="1">
      <c r="A45" t="s">
        <v>58</v>
      </c>
    </row>
    <row r="46" spans="1:10" ht="30" thickTop="1" thickBot="1">
      <c r="A46" s="80" t="s">
        <v>31</v>
      </c>
      <c r="B46" s="80" t="s">
        <v>32</v>
      </c>
      <c r="C46" s="80" t="s">
        <v>33</v>
      </c>
      <c r="D46" s="80" t="s">
        <v>34</v>
      </c>
      <c r="E46" s="80" t="s">
        <v>35</v>
      </c>
      <c r="F46" s="80" t="s">
        <v>36</v>
      </c>
      <c r="G46" s="80" t="s">
        <v>37</v>
      </c>
      <c r="H46" s="80" t="s">
        <v>38</v>
      </c>
      <c r="I46" s="80" t="s">
        <v>39</v>
      </c>
      <c r="J46" s="80" t="s">
        <v>40</v>
      </c>
    </row>
    <row r="47" spans="1:10" ht="15" thickTop="1">
      <c r="A47" s="12" t="s">
        <v>59</v>
      </c>
      <c r="B47" s="12">
        <v>1</v>
      </c>
      <c r="C47" s="107"/>
      <c r="D47" s="124">
        <v>24000</v>
      </c>
      <c r="E47" s="124">
        <v>24000</v>
      </c>
      <c r="F47" s="125">
        <v>12000</v>
      </c>
      <c r="G47" s="125">
        <v>12000</v>
      </c>
      <c r="H47" s="126">
        <v>24000</v>
      </c>
      <c r="I47" s="127" t="s">
        <v>60</v>
      </c>
      <c r="J47" s="127" t="s">
        <v>61</v>
      </c>
    </row>
    <row r="48" spans="1:10">
      <c r="A48" s="107"/>
      <c r="B48" s="107"/>
      <c r="C48" s="113"/>
      <c r="D48" s="129"/>
      <c r="E48" s="130">
        <f>ArchitectEngineering[[#This Row],[Column2]]*ArchitectEngineering[[#This Row],[Column3]]</f>
        <v>0</v>
      </c>
      <c r="F48" s="129"/>
      <c r="G48" s="129"/>
      <c r="H48" s="129"/>
      <c r="I48" s="107"/>
      <c r="J48" s="129"/>
    </row>
    <row r="49" spans="1:10">
      <c r="A49" s="107"/>
      <c r="B49" s="107"/>
      <c r="C49" s="113"/>
      <c r="D49" s="129"/>
      <c r="E49" s="130">
        <f>ArchitectEngineering[[#This Row],[Column2]]*ArchitectEngineering[[#This Row],[Column3]]</f>
        <v>0</v>
      </c>
      <c r="F49" s="129"/>
      <c r="G49" s="129"/>
      <c r="H49" s="129"/>
      <c r="I49" s="107"/>
      <c r="J49" s="129"/>
    </row>
    <row r="50" spans="1:10">
      <c r="A50" s="107"/>
      <c r="B50" s="107"/>
      <c r="C50" s="113"/>
      <c r="D50" s="129"/>
      <c r="E50" s="130">
        <f>ArchitectEngineering[[#This Row],[Column2]]*ArchitectEngineering[[#This Row],[Column3]]</f>
        <v>0</v>
      </c>
      <c r="F50" s="129"/>
      <c r="G50" s="129"/>
      <c r="H50" s="129"/>
      <c r="I50" s="107"/>
      <c r="J50" s="129"/>
    </row>
    <row r="51" spans="1:10">
      <c r="A51" s="107"/>
      <c r="B51" s="107"/>
      <c r="C51" s="113"/>
      <c r="D51" s="129"/>
      <c r="E51" s="130">
        <f>ArchitectEngineering[[#This Row],[Column2]]*ArchitectEngineering[[#This Row],[Column3]]</f>
        <v>0</v>
      </c>
      <c r="F51" s="129"/>
      <c r="G51" s="129"/>
      <c r="H51" s="129"/>
      <c r="I51" s="107"/>
      <c r="J51" s="129"/>
    </row>
    <row r="52" spans="1:10">
      <c r="A52" s="107"/>
      <c r="B52" s="107"/>
      <c r="C52" s="129"/>
      <c r="D52" s="129"/>
      <c r="E52" s="129"/>
      <c r="F52" s="129"/>
      <c r="G52" s="129"/>
      <c r="H52" s="129"/>
      <c r="I52" s="107"/>
      <c r="J52" s="107"/>
    </row>
    <row r="53" spans="1:10" s="5" customFormat="1" ht="32.65" customHeight="1">
      <c r="A53" s="122" t="s">
        <v>62</v>
      </c>
      <c r="B53" s="123"/>
      <c r="C53" s="123"/>
      <c r="D53" s="123"/>
      <c r="E53" s="123"/>
      <c r="F53" s="123"/>
      <c r="G53" s="123"/>
      <c r="H53" s="123"/>
      <c r="I53" s="123"/>
      <c r="J53" s="123"/>
    </row>
    <row r="54" spans="1:10" ht="15" thickBot="1">
      <c r="A54" t="s">
        <v>63</v>
      </c>
    </row>
    <row r="55" spans="1:10" ht="30" thickTop="1" thickBot="1">
      <c r="A55" s="80" t="s">
        <v>31</v>
      </c>
      <c r="B55" s="80" t="s">
        <v>32</v>
      </c>
      <c r="C55" s="80" t="s">
        <v>33</v>
      </c>
      <c r="D55" s="80" t="s">
        <v>34</v>
      </c>
      <c r="E55" s="80" t="s">
        <v>35</v>
      </c>
      <c r="F55" s="80" t="s">
        <v>36</v>
      </c>
      <c r="G55" s="80" t="s">
        <v>37</v>
      </c>
      <c r="H55" s="80" t="s">
        <v>38</v>
      </c>
      <c r="I55" s="80" t="s">
        <v>39</v>
      </c>
      <c r="J55" s="80" t="s">
        <v>40</v>
      </c>
    </row>
    <row r="56" spans="1:10" ht="15" thickTop="1">
      <c r="A56" s="12" t="s">
        <v>64</v>
      </c>
      <c r="B56" s="12">
        <v>1</v>
      </c>
      <c r="C56" s="133" t="s">
        <v>65</v>
      </c>
      <c r="D56" s="124">
        <v>500</v>
      </c>
      <c r="E56" s="124">
        <v>500</v>
      </c>
      <c r="F56" s="125">
        <v>250</v>
      </c>
      <c r="G56" s="125">
        <v>250</v>
      </c>
      <c r="H56" s="126">
        <v>0</v>
      </c>
      <c r="I56" s="127" t="s">
        <v>43</v>
      </c>
      <c r="J56" s="127" t="s">
        <v>66</v>
      </c>
    </row>
    <row r="57" spans="1:10">
      <c r="A57" s="107"/>
      <c r="B57" s="107"/>
      <c r="C57" s="113"/>
      <c r="D57" s="129"/>
      <c r="E57" s="130">
        <f>Inspections[[#This Row],[Column2]]*Inspections[[#This Row],[Column3]]</f>
        <v>0</v>
      </c>
      <c r="F57" s="129"/>
      <c r="G57" s="129"/>
      <c r="H57" s="129"/>
      <c r="I57" s="107"/>
      <c r="J57" s="129"/>
    </row>
    <row r="58" spans="1:10">
      <c r="A58" s="107"/>
      <c r="B58" s="107"/>
      <c r="C58" s="113"/>
      <c r="D58" s="129"/>
      <c r="E58" s="130">
        <f>Inspections[[#This Row],[Column2]]*Inspections[[#This Row],[Column3]]</f>
        <v>0</v>
      </c>
      <c r="F58" s="129"/>
      <c r="G58" s="129"/>
      <c r="H58" s="129"/>
      <c r="I58" s="107"/>
      <c r="J58" s="129"/>
    </row>
    <row r="59" spans="1:10">
      <c r="A59" s="107"/>
      <c r="B59" s="107"/>
      <c r="C59" s="113"/>
      <c r="D59" s="129"/>
      <c r="E59" s="130">
        <f>Inspections[[#This Row],[Column2]]*Inspections[[#This Row],[Column3]]</f>
        <v>0</v>
      </c>
      <c r="F59" s="129"/>
      <c r="G59" s="129"/>
      <c r="H59" s="129"/>
      <c r="I59" s="107"/>
      <c r="J59" s="129"/>
    </row>
    <row r="60" spans="1:10">
      <c r="A60" s="107"/>
      <c r="B60" s="107"/>
      <c r="C60" s="113"/>
      <c r="D60" s="129"/>
      <c r="E60" s="130">
        <f>Inspections[[#This Row],[Column2]]*Inspections[[#This Row],[Column3]]</f>
        <v>0</v>
      </c>
      <c r="F60" s="129"/>
      <c r="G60" s="129"/>
      <c r="H60" s="129"/>
      <c r="I60" s="107"/>
      <c r="J60" s="129"/>
    </row>
    <row r="61" spans="1:10">
      <c r="A61" s="107"/>
      <c r="B61" s="107"/>
      <c r="C61" s="129"/>
      <c r="D61" s="129"/>
      <c r="E61" s="129"/>
      <c r="F61" s="129"/>
      <c r="G61" s="129"/>
      <c r="H61" s="129"/>
      <c r="I61" s="107"/>
      <c r="J61" s="107"/>
    </row>
    <row r="62" spans="1:10" s="5" customFormat="1" ht="32.65" customHeight="1">
      <c r="A62" s="122" t="s">
        <v>67</v>
      </c>
      <c r="B62" s="123"/>
      <c r="C62" s="123"/>
      <c r="D62" s="123"/>
      <c r="E62" s="123"/>
      <c r="F62" s="123"/>
      <c r="G62" s="123"/>
      <c r="H62" s="123"/>
      <c r="I62" s="123"/>
      <c r="J62" s="123"/>
    </row>
    <row r="63" spans="1:10" ht="15" thickBot="1">
      <c r="A63" t="s">
        <v>68</v>
      </c>
    </row>
    <row r="64" spans="1:10" ht="30" thickTop="1" thickBot="1">
      <c r="A64" s="80" t="s">
        <v>31</v>
      </c>
      <c r="B64" s="80" t="s">
        <v>32</v>
      </c>
      <c r="C64" s="80" t="s">
        <v>33</v>
      </c>
      <c r="D64" s="80" t="s">
        <v>34</v>
      </c>
      <c r="E64" s="80" t="s">
        <v>35</v>
      </c>
      <c r="F64" s="80" t="s">
        <v>36</v>
      </c>
      <c r="G64" s="80" t="s">
        <v>37</v>
      </c>
      <c r="H64" s="80" t="s">
        <v>38</v>
      </c>
      <c r="I64" s="80" t="s">
        <v>39</v>
      </c>
      <c r="J64" s="80" t="s">
        <v>40</v>
      </c>
    </row>
    <row r="65" spans="1:10" ht="15" thickTop="1">
      <c r="A65" s="12" t="s">
        <v>69</v>
      </c>
      <c r="B65" s="12">
        <v>5000</v>
      </c>
      <c r="C65" s="133" t="s">
        <v>70</v>
      </c>
      <c r="D65" s="124">
        <v>1.4</v>
      </c>
      <c r="E65" s="124">
        <v>7000</v>
      </c>
      <c r="F65" s="125">
        <v>3500</v>
      </c>
      <c r="G65" s="125">
        <v>3500</v>
      </c>
      <c r="H65" s="126">
        <v>0</v>
      </c>
      <c r="I65" s="127" t="s">
        <v>60</v>
      </c>
      <c r="J65" s="127" t="s">
        <v>71</v>
      </c>
    </row>
    <row r="66" spans="1:10">
      <c r="A66" s="107"/>
      <c r="B66" s="107"/>
      <c r="C66" s="113"/>
      <c r="D66" s="129"/>
      <c r="E66" s="130">
        <f>SiteWork[[#This Row],[Column2]]*SiteWork[[#This Row],[Column3]]</f>
        <v>0</v>
      </c>
      <c r="F66" s="129"/>
      <c r="G66" s="129"/>
      <c r="H66" s="129"/>
      <c r="I66" s="107"/>
      <c r="J66" s="129"/>
    </row>
    <row r="67" spans="1:10">
      <c r="A67" s="107"/>
      <c r="B67" s="107"/>
      <c r="C67" s="113"/>
      <c r="D67" s="129"/>
      <c r="E67" s="130">
        <f>SiteWork[[#This Row],[Column2]]*SiteWork[[#This Row],[Column3]]</f>
        <v>0</v>
      </c>
      <c r="F67" s="129"/>
      <c r="G67" s="129"/>
      <c r="H67" s="129"/>
      <c r="I67" s="107"/>
      <c r="J67" s="129"/>
    </row>
    <row r="68" spans="1:10">
      <c r="A68" s="107"/>
      <c r="B68" s="107"/>
      <c r="C68" s="113"/>
      <c r="D68" s="129"/>
      <c r="E68" s="130">
        <f>SiteWork[[#This Row],[Column2]]*SiteWork[[#This Row],[Column3]]</f>
        <v>0</v>
      </c>
      <c r="F68" s="129"/>
      <c r="G68" s="129"/>
      <c r="H68" s="129"/>
      <c r="I68" s="107"/>
      <c r="J68" s="129"/>
    </row>
    <row r="69" spans="1:10">
      <c r="A69" s="107"/>
      <c r="B69" s="107"/>
      <c r="C69" s="113"/>
      <c r="D69" s="129"/>
      <c r="E69" s="130">
        <f>SiteWork[[#This Row],[Column2]]*SiteWork[[#This Row],[Column3]]</f>
        <v>0</v>
      </c>
      <c r="F69" s="129"/>
      <c r="G69" s="129"/>
      <c r="H69" s="129"/>
      <c r="I69" s="107"/>
      <c r="J69" s="129"/>
    </row>
    <row r="70" spans="1:10">
      <c r="A70" s="107"/>
      <c r="B70" s="107"/>
      <c r="C70" s="129"/>
      <c r="D70" s="129"/>
      <c r="E70" s="129"/>
      <c r="F70" s="129"/>
      <c r="G70" s="129"/>
      <c r="H70" s="129"/>
      <c r="I70" s="107"/>
      <c r="J70" s="107"/>
    </row>
    <row r="71" spans="1:10" s="5" customFormat="1" ht="32.65" customHeight="1">
      <c r="A71" s="122" t="s">
        <v>72</v>
      </c>
      <c r="B71" s="123"/>
      <c r="C71" s="123"/>
      <c r="D71" s="123"/>
      <c r="E71" s="123"/>
      <c r="F71" s="123"/>
      <c r="G71" s="123"/>
      <c r="H71" s="123"/>
      <c r="I71" s="123"/>
      <c r="J71" s="123"/>
    </row>
    <row r="72" spans="1:10" ht="15" thickBot="1">
      <c r="A72" t="s">
        <v>73</v>
      </c>
    </row>
    <row r="73" spans="1:10" ht="30" thickTop="1" thickBot="1">
      <c r="A73" s="80" t="s">
        <v>31</v>
      </c>
      <c r="B73" s="80" t="s">
        <v>32</v>
      </c>
      <c r="C73" s="80" t="s">
        <v>33</v>
      </c>
      <c r="D73" s="80" t="s">
        <v>34</v>
      </c>
      <c r="E73" s="80" t="s">
        <v>35</v>
      </c>
      <c r="F73" s="80" t="s">
        <v>36</v>
      </c>
      <c r="G73" s="80" t="s">
        <v>37</v>
      </c>
      <c r="H73" s="80" t="s">
        <v>38</v>
      </c>
      <c r="I73" s="80" t="s">
        <v>39</v>
      </c>
      <c r="J73" s="80" t="s">
        <v>40</v>
      </c>
    </row>
    <row r="74" spans="1:10" ht="15" thickTop="1">
      <c r="A74" s="12" t="s">
        <v>74</v>
      </c>
      <c r="B74" s="12">
        <v>1</v>
      </c>
      <c r="C74" s="107"/>
      <c r="D74" s="124">
        <v>12000</v>
      </c>
      <c r="E74" s="124">
        <v>12000</v>
      </c>
      <c r="F74" s="125">
        <v>6000</v>
      </c>
      <c r="G74" s="125">
        <v>6000</v>
      </c>
      <c r="H74" s="126">
        <v>0</v>
      </c>
      <c r="I74" s="127" t="s">
        <v>60</v>
      </c>
      <c r="J74" s="127" t="s">
        <v>71</v>
      </c>
    </row>
    <row r="75" spans="1:10">
      <c r="A75" s="107"/>
      <c r="B75" s="107"/>
      <c r="C75" s="128"/>
      <c r="D75" s="129"/>
      <c r="E75" s="130">
        <f>Demolition[[#This Row],[Column2]]*Demolition[[#This Row],[Column10]]</f>
        <v>0</v>
      </c>
      <c r="F75" s="129"/>
      <c r="G75" s="129"/>
      <c r="H75" s="129"/>
      <c r="I75" s="107"/>
      <c r="J75" s="129"/>
    </row>
    <row r="76" spans="1:10">
      <c r="A76" s="107"/>
      <c r="B76" s="107"/>
      <c r="C76" s="128"/>
      <c r="D76" s="129"/>
      <c r="E76" s="130">
        <f>Demolition[[#This Row],[Column2]]*Demolition[[#This Row],[Column10]]</f>
        <v>0</v>
      </c>
      <c r="F76" s="129"/>
      <c r="G76" s="129"/>
      <c r="H76" s="129"/>
      <c r="I76" s="107"/>
      <c r="J76" s="129"/>
    </row>
    <row r="77" spans="1:10">
      <c r="A77" s="107"/>
      <c r="B77" s="107"/>
      <c r="C77" s="128"/>
      <c r="D77" s="129"/>
      <c r="E77" s="130">
        <f>Demolition[[#This Row],[Column2]]*Demolition[[#This Row],[Column10]]</f>
        <v>0</v>
      </c>
      <c r="F77" s="129"/>
      <c r="G77" s="129"/>
      <c r="H77" s="129"/>
      <c r="I77" s="107"/>
      <c r="J77" s="129"/>
    </row>
    <row r="78" spans="1:10">
      <c r="A78" s="107"/>
      <c r="B78" s="107"/>
      <c r="C78" s="128"/>
      <c r="D78" s="129"/>
      <c r="E78" s="130">
        <f>Demolition[[#This Row],[Column2]]*Demolition[[#This Row],[Column10]]</f>
        <v>0</v>
      </c>
      <c r="F78" s="129"/>
      <c r="G78" s="129"/>
      <c r="H78" s="129"/>
      <c r="I78" s="107"/>
      <c r="J78" s="129"/>
    </row>
    <row r="79" spans="1:10">
      <c r="A79" s="107"/>
      <c r="B79" s="107"/>
      <c r="C79" s="129"/>
      <c r="D79" s="129"/>
      <c r="E79" s="129"/>
      <c r="F79" s="129"/>
      <c r="G79" s="129"/>
      <c r="H79" s="129"/>
      <c r="I79" s="107"/>
      <c r="J79" s="107"/>
    </row>
    <row r="80" spans="1:10" s="5" customFormat="1" ht="32.65" customHeight="1">
      <c r="A80" s="122" t="s">
        <v>75</v>
      </c>
      <c r="B80" s="123"/>
      <c r="C80" s="123"/>
      <c r="D80" s="123"/>
      <c r="E80" s="123"/>
      <c r="F80" s="123"/>
      <c r="G80" s="123"/>
      <c r="H80" s="123"/>
      <c r="I80" s="123"/>
      <c r="J80" s="123"/>
    </row>
    <row r="81" spans="1:10" ht="15" thickBot="1">
      <c r="A81" t="s">
        <v>76</v>
      </c>
    </row>
    <row r="82" spans="1:10" ht="30" thickTop="1" thickBot="1">
      <c r="A82" s="80" t="s">
        <v>31</v>
      </c>
      <c r="B82" s="80" t="s">
        <v>32</v>
      </c>
      <c r="C82" s="80" t="s">
        <v>33</v>
      </c>
      <c r="D82" s="80" t="s">
        <v>34</v>
      </c>
      <c r="E82" s="80" t="s">
        <v>35</v>
      </c>
      <c r="F82" s="80" t="s">
        <v>36</v>
      </c>
      <c r="G82" s="80" t="s">
        <v>37</v>
      </c>
      <c r="H82" s="80" t="s">
        <v>38</v>
      </c>
      <c r="I82" s="80" t="s">
        <v>39</v>
      </c>
      <c r="J82" s="80" t="s">
        <v>40</v>
      </c>
    </row>
    <row r="83" spans="1:10" ht="15" thickTop="1">
      <c r="A83" s="12" t="s">
        <v>77</v>
      </c>
      <c r="B83" s="12">
        <v>5</v>
      </c>
      <c r="C83" s="133" t="s">
        <v>78</v>
      </c>
      <c r="D83" s="124">
        <v>20000</v>
      </c>
      <c r="E83" s="124">
        <v>100000</v>
      </c>
      <c r="F83" s="125">
        <v>50000</v>
      </c>
      <c r="G83" s="125">
        <v>50000</v>
      </c>
      <c r="H83" s="126">
        <v>0</v>
      </c>
      <c r="I83" s="127" t="s">
        <v>60</v>
      </c>
      <c r="J83" s="127" t="s">
        <v>79</v>
      </c>
    </row>
    <row r="84" spans="1:10">
      <c r="A84" s="107"/>
      <c r="B84" s="107"/>
      <c r="C84" s="113"/>
      <c r="D84" s="129"/>
      <c r="E84" s="130">
        <f>Construction[[#This Row],[Column2]]*Construction[[#This Row],[Column3]]</f>
        <v>0</v>
      </c>
      <c r="F84" s="129"/>
      <c r="G84" s="129"/>
      <c r="H84" s="129"/>
      <c r="I84" s="107"/>
      <c r="J84" s="129"/>
    </row>
    <row r="85" spans="1:10">
      <c r="A85" s="107"/>
      <c r="B85" s="107"/>
      <c r="C85" s="113"/>
      <c r="D85" s="129"/>
      <c r="E85" s="130">
        <f>Construction[[#This Row],[Column2]]*Construction[[#This Row],[Column3]]</f>
        <v>0</v>
      </c>
      <c r="F85" s="129"/>
      <c r="G85" s="129"/>
      <c r="H85" s="129"/>
      <c r="I85" s="107"/>
      <c r="J85" s="129"/>
    </row>
    <row r="86" spans="1:10">
      <c r="A86" s="107"/>
      <c r="B86" s="107"/>
      <c r="C86" s="113"/>
      <c r="D86" s="129"/>
      <c r="E86" s="130">
        <f>Construction[[#This Row],[Column2]]*Construction[[#This Row],[Column3]]</f>
        <v>0</v>
      </c>
      <c r="F86" s="129"/>
      <c r="G86" s="129"/>
      <c r="H86" s="129"/>
      <c r="I86" s="107"/>
      <c r="J86" s="129"/>
    </row>
    <row r="87" spans="1:10">
      <c r="A87" s="107"/>
      <c r="B87" s="107"/>
      <c r="C87" s="113"/>
      <c r="D87" s="129"/>
      <c r="E87" s="130">
        <f>Construction[[#This Row],[Column2]]*Construction[[#This Row],[Column3]]</f>
        <v>0</v>
      </c>
      <c r="F87" s="129"/>
      <c r="G87" s="129"/>
      <c r="H87" s="129"/>
      <c r="I87" s="107"/>
      <c r="J87" s="129"/>
    </row>
    <row r="88" spans="1:10">
      <c r="A88" s="107"/>
      <c r="B88" s="107"/>
      <c r="C88" s="129"/>
      <c r="D88" s="129"/>
      <c r="E88" s="129"/>
      <c r="F88" s="129"/>
      <c r="G88" s="129"/>
      <c r="H88" s="129"/>
      <c r="I88" s="107"/>
      <c r="J88" s="107"/>
    </row>
    <row r="89" spans="1:10" s="5" customFormat="1" ht="32.65" customHeight="1">
      <c r="A89" s="122" t="s">
        <v>80</v>
      </c>
      <c r="B89" s="123"/>
      <c r="C89" s="123"/>
      <c r="D89" s="123"/>
      <c r="E89" s="123"/>
      <c r="F89" s="123"/>
      <c r="G89" s="123"/>
      <c r="H89" s="123"/>
      <c r="I89" s="123"/>
      <c r="J89" s="123"/>
    </row>
    <row r="90" spans="1:10" ht="15" thickBot="1">
      <c r="A90" t="s">
        <v>81</v>
      </c>
    </row>
    <row r="91" spans="1:10" ht="30" thickTop="1" thickBot="1">
      <c r="A91" s="80" t="s">
        <v>31</v>
      </c>
      <c r="B91" s="80" t="s">
        <v>32</v>
      </c>
      <c r="C91" s="80" t="s">
        <v>33</v>
      </c>
      <c r="D91" s="80" t="s">
        <v>34</v>
      </c>
      <c r="E91" s="80" t="s">
        <v>35</v>
      </c>
      <c r="F91" s="80" t="s">
        <v>36</v>
      </c>
      <c r="G91" s="80" t="s">
        <v>37</v>
      </c>
      <c r="H91" s="80" t="s">
        <v>38</v>
      </c>
      <c r="I91" s="80" t="s">
        <v>39</v>
      </c>
      <c r="J91" s="80" t="s">
        <v>40</v>
      </c>
    </row>
    <row r="92" spans="1:10" ht="15" thickTop="1">
      <c r="A92" s="12" t="s">
        <v>82</v>
      </c>
      <c r="B92" s="12">
        <v>1</v>
      </c>
      <c r="C92" s="133" t="s">
        <v>83</v>
      </c>
      <c r="D92" s="124">
        <v>10636</v>
      </c>
      <c r="E92" s="124">
        <v>10636</v>
      </c>
      <c r="F92" s="125">
        <v>5318</v>
      </c>
      <c r="G92" s="125">
        <v>5318</v>
      </c>
      <c r="H92" s="126">
        <v>0</v>
      </c>
      <c r="I92" s="127" t="s">
        <v>43</v>
      </c>
      <c r="J92" s="127" t="s">
        <v>84</v>
      </c>
    </row>
    <row r="93" spans="1:10">
      <c r="A93" s="107"/>
      <c r="B93" s="107"/>
      <c r="C93" s="113"/>
      <c r="D93" s="129"/>
      <c r="E93" s="130">
        <f>Equipment[[#This Row],[Column2]]*Equipment[[#This Row],[Column3]]</f>
        <v>0</v>
      </c>
      <c r="F93" s="129"/>
      <c r="G93" s="129"/>
      <c r="H93" s="129"/>
      <c r="I93" s="107"/>
      <c r="J93" s="129"/>
    </row>
    <row r="94" spans="1:10">
      <c r="A94" s="107"/>
      <c r="B94" s="107"/>
      <c r="C94" s="113"/>
      <c r="D94" s="129"/>
      <c r="E94" s="130">
        <f>Equipment[[#This Row],[Column2]]*Equipment[[#This Row],[Column3]]</f>
        <v>0</v>
      </c>
      <c r="F94" s="129"/>
      <c r="G94" s="129"/>
      <c r="H94" s="129"/>
      <c r="I94" s="107"/>
      <c r="J94" s="129"/>
    </row>
    <row r="95" spans="1:10">
      <c r="A95" s="107"/>
      <c r="B95" s="107"/>
      <c r="C95" s="113"/>
      <c r="D95" s="129"/>
      <c r="E95" s="130">
        <f>Equipment[[#This Row],[Column2]]*Equipment[[#This Row],[Column3]]</f>
        <v>0</v>
      </c>
      <c r="F95" s="129"/>
      <c r="G95" s="129"/>
      <c r="H95" s="129"/>
      <c r="I95" s="107"/>
      <c r="J95" s="129"/>
    </row>
    <row r="96" spans="1:10">
      <c r="A96" s="107"/>
      <c r="B96" s="107"/>
      <c r="C96" s="113"/>
      <c r="D96" s="129"/>
      <c r="E96" s="130">
        <f>Equipment[[#This Row],[Column2]]*Equipment[[#This Row],[Column3]]</f>
        <v>0</v>
      </c>
      <c r="F96" s="129"/>
      <c r="G96" s="129"/>
      <c r="H96" s="129"/>
      <c r="I96" s="107"/>
      <c r="J96" s="129"/>
    </row>
    <row r="97" spans="1:10">
      <c r="A97" s="107"/>
      <c r="B97" s="107"/>
      <c r="C97" s="129"/>
      <c r="D97" s="129"/>
      <c r="E97" s="129"/>
      <c r="F97" s="129"/>
      <c r="G97" s="129"/>
      <c r="H97" s="129"/>
      <c r="I97" s="107"/>
      <c r="J97" s="107"/>
    </row>
    <row r="98" spans="1:10" s="5" customFormat="1" ht="32.65" customHeight="1">
      <c r="A98" s="122" t="s">
        <v>85</v>
      </c>
      <c r="B98" s="123"/>
      <c r="C98" s="123"/>
      <c r="D98" s="123"/>
      <c r="E98" s="123"/>
      <c r="F98" s="123"/>
      <c r="G98" s="123"/>
      <c r="H98" s="123"/>
      <c r="I98" s="123"/>
      <c r="J98" s="123"/>
    </row>
    <row r="99" spans="1:10" s="5" customFormat="1" ht="14.65" customHeight="1" thickBot="1">
      <c r="A99" s="107" t="s">
        <v>86</v>
      </c>
      <c r="B99" s="123"/>
      <c r="C99" s="123"/>
      <c r="D99" s="123"/>
      <c r="E99" s="123"/>
      <c r="F99" s="123"/>
      <c r="G99" s="123"/>
      <c r="H99" s="123"/>
      <c r="I99" s="123"/>
      <c r="J99" s="123"/>
    </row>
    <row r="100" spans="1:10" ht="30" thickTop="1" thickBot="1">
      <c r="A100" s="80" t="s">
        <v>31</v>
      </c>
      <c r="B100" s="80" t="s">
        <v>32</v>
      </c>
      <c r="C100" s="80" t="s">
        <v>33</v>
      </c>
      <c r="D100" s="80" t="s">
        <v>34</v>
      </c>
      <c r="E100" s="80" t="s">
        <v>35</v>
      </c>
      <c r="F100" s="80" t="s">
        <v>36</v>
      </c>
      <c r="G100" s="80" t="s">
        <v>37</v>
      </c>
      <c r="H100" s="80" t="s">
        <v>38</v>
      </c>
      <c r="I100" s="80" t="s">
        <v>39</v>
      </c>
      <c r="J100" s="80" t="s">
        <v>40</v>
      </c>
    </row>
    <row r="101" spans="1:10" ht="15" thickTop="1">
      <c r="A101" s="127" t="s">
        <v>87</v>
      </c>
      <c r="B101" s="127">
        <v>200</v>
      </c>
      <c r="C101" s="133" t="s">
        <v>88</v>
      </c>
      <c r="D101" s="126">
        <v>37.5</v>
      </c>
      <c r="E101" s="126">
        <v>7500</v>
      </c>
      <c r="F101" s="126">
        <v>3750</v>
      </c>
      <c r="G101" s="147">
        <v>3750</v>
      </c>
      <c r="H101" s="146">
        <v>0</v>
      </c>
      <c r="I101" s="127" t="s">
        <v>60</v>
      </c>
      <c r="J101" s="127"/>
    </row>
    <row r="102" spans="1:10">
      <c r="A102" s="107"/>
      <c r="B102" s="107"/>
      <c r="C102" s="113"/>
      <c r="D102" s="129"/>
      <c r="E102" s="130">
        <f>Misc[[#This Row],[Column2]]*Misc[[#This Row],[Column3]]</f>
        <v>0</v>
      </c>
      <c r="F102" s="129"/>
      <c r="G102" s="129"/>
      <c r="H102" s="129"/>
      <c r="I102" s="107"/>
      <c r="J102" s="129"/>
    </row>
    <row r="103" spans="1:10">
      <c r="A103" s="107"/>
      <c r="B103" s="107"/>
      <c r="C103" s="113"/>
      <c r="D103" s="129"/>
      <c r="E103" s="130">
        <f>Misc[[#This Row],[Column2]]*Misc[[#This Row],[Column3]]</f>
        <v>0</v>
      </c>
      <c r="F103" s="129"/>
      <c r="G103" s="129"/>
      <c r="H103" s="129"/>
      <c r="I103" s="107"/>
      <c r="J103" s="129"/>
    </row>
    <row r="104" spans="1:10">
      <c r="A104" s="107"/>
      <c r="B104" s="107"/>
      <c r="C104" s="113"/>
      <c r="D104" s="129"/>
      <c r="E104" s="130">
        <f>Misc[[#This Row],[Column2]]*Misc[[#This Row],[Column3]]</f>
        <v>0</v>
      </c>
      <c r="F104" s="129"/>
      <c r="G104" s="129"/>
      <c r="H104" s="129"/>
      <c r="I104" s="107"/>
      <c r="J104" s="129"/>
    </row>
    <row r="105" spans="1:10">
      <c r="A105" s="107"/>
      <c r="B105" s="107"/>
      <c r="C105" s="113"/>
      <c r="D105" s="129"/>
      <c r="E105" s="130">
        <f>Misc[[#This Row],[Column2]]*Misc[[#This Row],[Column3]]</f>
        <v>0</v>
      </c>
      <c r="F105" s="129"/>
      <c r="G105" s="129"/>
      <c r="H105" s="129"/>
      <c r="I105" s="107"/>
      <c r="J105" s="129"/>
    </row>
    <row r="106" spans="1:10">
      <c r="A106" s="107"/>
      <c r="B106" s="107"/>
      <c r="C106" s="129"/>
      <c r="D106" s="129"/>
      <c r="E106" s="129"/>
      <c r="F106" s="129"/>
      <c r="G106" s="129"/>
      <c r="H106" s="129"/>
      <c r="I106" s="107"/>
      <c r="J106" s="107"/>
    </row>
    <row r="107" spans="1:10" s="5" customFormat="1" ht="32.65" customHeight="1">
      <c r="A107" s="122" t="s">
        <v>89</v>
      </c>
      <c r="B107" s="123"/>
      <c r="C107" s="123"/>
      <c r="D107" s="123"/>
      <c r="E107" s="123"/>
      <c r="F107" s="123"/>
      <c r="G107" s="123"/>
      <c r="H107" s="123"/>
      <c r="I107" s="123"/>
      <c r="J107" s="123"/>
    </row>
    <row r="108" spans="1:10" ht="33" customHeight="1" thickBot="1">
      <c r="A108" s="179" t="s">
        <v>90</v>
      </c>
      <c r="B108" s="179"/>
      <c r="C108" s="179"/>
      <c r="D108" s="179"/>
      <c r="E108" s="179"/>
      <c r="F108" s="179"/>
      <c r="G108" s="179"/>
      <c r="H108" s="179"/>
      <c r="I108" s="179"/>
      <c r="J108" s="107"/>
    </row>
    <row r="109" spans="1:10" ht="15.6" customHeight="1" thickTop="1" thickBot="1">
      <c r="A109" s="80" t="s">
        <v>91</v>
      </c>
      <c r="B109" s="80" t="s">
        <v>36</v>
      </c>
      <c r="C109" s="80" t="s">
        <v>37</v>
      </c>
      <c r="D109" s="200" t="s">
        <v>92</v>
      </c>
      <c r="E109" s="201"/>
      <c r="F109" s="201"/>
      <c r="G109" s="201"/>
      <c r="H109" s="201"/>
      <c r="I109" s="202"/>
      <c r="J109" s="107"/>
    </row>
    <row r="110" spans="1:10" ht="36.75" customHeight="1" thickTop="1" thickBot="1">
      <c r="A110" s="129"/>
      <c r="B110" s="129"/>
      <c r="C110" s="129"/>
      <c r="D110" s="199"/>
      <c r="E110" s="199"/>
      <c r="F110" s="199"/>
      <c r="G110" s="199"/>
      <c r="H110" s="199"/>
      <c r="I110" s="199"/>
      <c r="J110" s="107"/>
    </row>
    <row r="111" spans="1:10" ht="15" customHeight="1" thickTop="1">
      <c r="A111" s="129"/>
      <c r="B111" s="129"/>
      <c r="C111" s="129"/>
      <c r="D111" s="107"/>
      <c r="E111" s="107"/>
      <c r="F111" s="107"/>
      <c r="G111" s="107"/>
      <c r="H111" s="107"/>
      <c r="I111" s="107"/>
      <c r="J111" s="107"/>
    </row>
    <row r="112" spans="1:10" ht="32.65" customHeight="1">
      <c r="A112" s="122" t="s">
        <v>93</v>
      </c>
      <c r="B112" s="107"/>
      <c r="C112" s="107"/>
      <c r="D112" s="107"/>
      <c r="E112" s="107"/>
      <c r="F112" s="107"/>
      <c r="G112" s="107"/>
      <c r="H112" s="107"/>
      <c r="I112" s="107"/>
      <c r="J112" s="107"/>
    </row>
    <row r="113" spans="1:10" ht="15" thickBot="1">
      <c r="A113" t="s">
        <v>94</v>
      </c>
      <c r="B113" s="107"/>
      <c r="C113" s="107"/>
      <c r="D113" s="107"/>
      <c r="E113" s="107"/>
      <c r="F113" s="107"/>
      <c r="G113" s="107"/>
      <c r="H113" s="107"/>
      <c r="I113" s="107"/>
      <c r="J113" s="107"/>
    </row>
    <row r="114" spans="1:10" ht="30" thickTop="1" thickBot="1">
      <c r="A114" s="80" t="s">
        <v>95</v>
      </c>
      <c r="B114" s="80" t="s">
        <v>96</v>
      </c>
      <c r="C114" s="80" t="s">
        <v>97</v>
      </c>
      <c r="D114" s="80" t="s">
        <v>98</v>
      </c>
      <c r="E114" s="80" t="s">
        <v>35</v>
      </c>
      <c r="F114" s="80" t="s">
        <v>36</v>
      </c>
      <c r="G114" s="80" t="s">
        <v>37</v>
      </c>
      <c r="H114" s="80" t="s">
        <v>99</v>
      </c>
      <c r="I114" s="107"/>
      <c r="J114" s="107"/>
    </row>
    <row r="115" spans="1:10" ht="15" thickTop="1">
      <c r="A115" s="12" t="s">
        <v>100</v>
      </c>
      <c r="B115" s="124">
        <v>110000</v>
      </c>
      <c r="C115" s="131" t="s">
        <v>101</v>
      </c>
      <c r="D115" s="134">
        <v>9.4500000000000001E-2</v>
      </c>
      <c r="E115" s="125">
        <v>10395</v>
      </c>
      <c r="F115" s="125">
        <f>E115/2</f>
        <v>5197.5</v>
      </c>
      <c r="G115" s="125">
        <v>5197.5</v>
      </c>
      <c r="H115" s="127" t="s">
        <v>102</v>
      </c>
      <c r="I115" s="107"/>
      <c r="J115" s="107"/>
    </row>
    <row r="116" spans="1:10">
      <c r="A116" s="107"/>
      <c r="B116" s="107"/>
      <c r="C116" s="129"/>
      <c r="D116" s="135"/>
      <c r="E116" s="130">
        <f>ROUNDUP(Indirect[[#This Row],[Column4]]*Indirect[[#This Row],[Column3]], 2)</f>
        <v>0</v>
      </c>
      <c r="F116" s="129"/>
      <c r="G116" s="129"/>
      <c r="H116" s="107"/>
      <c r="I116" s="107"/>
      <c r="J116" s="107"/>
    </row>
    <row r="117" spans="1:10">
      <c r="A117" s="107"/>
      <c r="B117" s="107"/>
      <c r="C117" s="129"/>
      <c r="D117" s="135"/>
      <c r="E117" s="130">
        <f>ROUNDUP(Indirect[[#This Row],[Column4]]*Indirect[[#This Row],[Column3]], 2)</f>
        <v>0</v>
      </c>
      <c r="F117" s="129"/>
      <c r="G117" s="129"/>
      <c r="H117" s="107"/>
      <c r="I117" s="107"/>
      <c r="J117" s="107"/>
    </row>
    <row r="118" spans="1:10">
      <c r="A118" s="107"/>
      <c r="B118" s="107"/>
      <c r="C118" s="129"/>
      <c r="D118" s="129"/>
      <c r="E118" s="129"/>
      <c r="F118" s="129"/>
      <c r="G118" s="129"/>
      <c r="H118" s="129"/>
      <c r="I118" s="107"/>
      <c r="J118" s="107"/>
    </row>
    <row r="119" spans="1:10" ht="45.6" customHeight="1">
      <c r="A119" s="7" t="s">
        <v>103</v>
      </c>
    </row>
    <row r="120" spans="1:10" ht="15" thickBot="1">
      <c r="A120" s="115" t="s">
        <v>104</v>
      </c>
      <c r="B120" s="115" t="s">
        <v>105</v>
      </c>
      <c r="C120" s="115" t="s">
        <v>36</v>
      </c>
      <c r="D120" s="115" t="s">
        <v>37</v>
      </c>
      <c r="E120" s="3"/>
      <c r="F120" s="3"/>
      <c r="G120" s="3"/>
    </row>
    <row r="121" spans="1:10" ht="15" thickTop="1">
      <c r="A121" s="70" t="s">
        <v>106</v>
      </c>
      <c r="B121" s="71">
        <f>SUM(AdminLegal[Column5])</f>
        <v>0</v>
      </c>
      <c r="C121" s="71">
        <f>SUM(AdminLegal[Column6])</f>
        <v>0</v>
      </c>
      <c r="D121" s="72">
        <f>SUM(AdminLegal[Column7])</f>
        <v>0</v>
      </c>
      <c r="E121" s="1" t="str">
        <f>IF(SUM(C121:D121) &lt;&gt;B121, "⚠️ Warning: Federal Share and Non-Federal Share do not add up to Total Cost. Please check your entries in this section.", "")</f>
        <v/>
      </c>
      <c r="F121" s="6"/>
      <c r="G121" s="6"/>
    </row>
    <row r="122" spans="1:10">
      <c r="A122" s="64" t="s">
        <v>107</v>
      </c>
      <c r="B122" s="63">
        <f>SUM(Land[Column4])</f>
        <v>0</v>
      </c>
      <c r="C122" s="63">
        <f>SUM(Land[Column5])</f>
        <v>0</v>
      </c>
      <c r="D122" s="63">
        <f>SUM(Land[Column6])</f>
        <v>0</v>
      </c>
      <c r="E122" s="1" t="str">
        <f t="shared" ref="E122:E133" si="1">IF(SUM(C122:D122) &lt;&gt;B122, "⚠️ Warning: Federal Share and Non-Federal Share do not add up to Total Cost. Please check your entries in this section.", "")</f>
        <v/>
      </c>
      <c r="F122" s="1"/>
      <c r="G122" s="1"/>
    </row>
    <row r="123" spans="1:10">
      <c r="A123" s="64" t="s">
        <v>108</v>
      </c>
      <c r="B123" s="63">
        <f>SUM(Relocation[Column4])</f>
        <v>0</v>
      </c>
      <c r="C123" s="63">
        <f>SUM(Relocation[Column5])</f>
        <v>0</v>
      </c>
      <c r="D123" s="63">
        <f>SUM(Relocation[Column6])</f>
        <v>0</v>
      </c>
      <c r="E123" s="1" t="str">
        <f t="shared" si="1"/>
        <v/>
      </c>
      <c r="F123" s="1"/>
      <c r="G123" s="1"/>
    </row>
    <row r="124" spans="1:10">
      <c r="A124" s="64" t="s">
        <v>109</v>
      </c>
      <c r="B124" s="63">
        <f>SUM(ArchitectEngineering[Column4])</f>
        <v>0</v>
      </c>
      <c r="C124" s="63">
        <f>SUM(ArchitectEngineering[Column5])</f>
        <v>0</v>
      </c>
      <c r="D124" s="63">
        <f>SUM(ArchitectEngineering[Column6])</f>
        <v>0</v>
      </c>
      <c r="E124" s="1" t="str">
        <f t="shared" si="1"/>
        <v/>
      </c>
      <c r="F124" s="1"/>
      <c r="G124" s="1"/>
    </row>
    <row r="125" spans="1:10">
      <c r="A125" s="64" t="s">
        <v>110</v>
      </c>
      <c r="B125" s="63">
        <f>SUM(Inspections[Column4])</f>
        <v>0</v>
      </c>
      <c r="C125" s="63">
        <f>SUM(Inspections[Column5])</f>
        <v>0</v>
      </c>
      <c r="D125" s="63">
        <f>SUM(Inspections[Column6])</f>
        <v>0</v>
      </c>
      <c r="E125" s="1" t="str">
        <f t="shared" si="1"/>
        <v/>
      </c>
    </row>
    <row r="126" spans="1:10">
      <c r="A126" s="64" t="s">
        <v>111</v>
      </c>
      <c r="B126" s="63">
        <f>SUM(SiteWork[Column4])</f>
        <v>0</v>
      </c>
      <c r="C126" s="63">
        <f>SUM(SiteWork[Column5])</f>
        <v>0</v>
      </c>
      <c r="D126" s="63">
        <f>SUM(SiteWork[Column6])</f>
        <v>0</v>
      </c>
      <c r="E126" s="1" t="str">
        <f t="shared" si="1"/>
        <v/>
      </c>
    </row>
    <row r="127" spans="1:10">
      <c r="A127" s="64" t="s">
        <v>72</v>
      </c>
      <c r="B127" s="63">
        <f>SUM(Demolition[Column4])</f>
        <v>0</v>
      </c>
      <c r="C127" s="63">
        <f>SUM(Demolition[Column5])</f>
        <v>0</v>
      </c>
      <c r="D127" s="63">
        <f>SUM(Demolition[Column6])</f>
        <v>0</v>
      </c>
      <c r="E127" s="1" t="str">
        <f t="shared" si="1"/>
        <v/>
      </c>
    </row>
    <row r="128" spans="1:10">
      <c r="A128" s="64" t="s">
        <v>75</v>
      </c>
      <c r="B128" s="63">
        <f>SUM(Construction[Column4])</f>
        <v>0</v>
      </c>
      <c r="C128" s="63">
        <f>SUM(Construction[Column5])</f>
        <v>0</v>
      </c>
      <c r="D128" s="63">
        <f>SUM(Construction[Column6])</f>
        <v>0</v>
      </c>
      <c r="E128" s="1" t="str">
        <f t="shared" si="1"/>
        <v/>
      </c>
    </row>
    <row r="129" spans="1:5">
      <c r="A129" s="64" t="s">
        <v>80</v>
      </c>
      <c r="B129" s="63">
        <f>SUM(Equipment[Column4])</f>
        <v>0</v>
      </c>
      <c r="C129" s="63">
        <f>SUM(Equipment[Column5])</f>
        <v>0</v>
      </c>
      <c r="D129" s="63">
        <f>SUM(Equipment[Column6])</f>
        <v>0</v>
      </c>
      <c r="E129" s="1" t="str">
        <f t="shared" si="1"/>
        <v/>
      </c>
    </row>
    <row r="130" spans="1:5">
      <c r="A130" s="64" t="s">
        <v>85</v>
      </c>
      <c r="B130" s="63">
        <f>SUM(Misc[Column4])</f>
        <v>0</v>
      </c>
      <c r="C130" s="63">
        <f>SUM(Misc[Column5])</f>
        <v>0</v>
      </c>
      <c r="D130" s="63">
        <f>SUM(Misc[Column6])</f>
        <v>0</v>
      </c>
      <c r="E130" s="1" t="str">
        <f t="shared" si="1"/>
        <v/>
      </c>
    </row>
    <row r="131" spans="1:5">
      <c r="A131" s="64" t="s">
        <v>89</v>
      </c>
      <c r="B131" s="63">
        <f>SUM(Contingency[Column1])</f>
        <v>0</v>
      </c>
      <c r="C131" s="63">
        <f>SUM(Contingency[Column2])</f>
        <v>0</v>
      </c>
      <c r="D131" s="63">
        <f>SUM(Contingency[Column3])</f>
        <v>0</v>
      </c>
      <c r="E131" s="1" t="str">
        <f t="shared" si="1"/>
        <v/>
      </c>
    </row>
    <row r="132" spans="1:5">
      <c r="A132" s="65" t="str">
        <f>IF(SUM(B121:B130)=0,"     Percent of Total Direct Costs: 0%", _xlfn.CONCAT("     Percent of Total Direct Costs: ",ROUND(B131/SUM(B121:B130),4)*100,"%"))</f>
        <v xml:space="preserve">     Percent of Total Direct Costs: 0%</v>
      </c>
      <c r="B132" s="63"/>
      <c r="C132" s="63"/>
      <c r="D132" s="63"/>
      <c r="E132" s="1" t="str">
        <f t="shared" si="1"/>
        <v/>
      </c>
    </row>
    <row r="133" spans="1:5">
      <c r="A133" s="64" t="s">
        <v>93</v>
      </c>
      <c r="B133" s="63">
        <f>SUM(Indirect[Column5])</f>
        <v>0</v>
      </c>
      <c r="C133" s="63">
        <f>SUM(Indirect[Column6])</f>
        <v>0</v>
      </c>
      <c r="D133" s="63">
        <f>SUM(Indirect[Column7])</f>
        <v>0</v>
      </c>
      <c r="E133" s="1" t="str">
        <f t="shared" si="1"/>
        <v/>
      </c>
    </row>
    <row r="134" spans="1:5">
      <c r="A134" s="64"/>
      <c r="B134" s="63"/>
      <c r="C134" s="63"/>
      <c r="D134" s="63"/>
      <c r="E134" s="1"/>
    </row>
    <row r="135" spans="1:5">
      <c r="A135" s="66" t="s">
        <v>112</v>
      </c>
      <c r="B135" s="63">
        <f>SUM(B121:B133)</f>
        <v>0</v>
      </c>
      <c r="C135" s="63">
        <f>SUM(C121:C133)</f>
        <v>0</v>
      </c>
      <c r="D135" s="63">
        <f>SUM(D121:D133)</f>
        <v>0</v>
      </c>
    </row>
    <row r="136" spans="1:5">
      <c r="A136" s="65" t="s">
        <v>113</v>
      </c>
      <c r="B136" s="67">
        <v>1</v>
      </c>
      <c r="C136" s="68">
        <f>IFERROR(C135/B135,0)</f>
        <v>0</v>
      </c>
      <c r="D136" s="68">
        <f>IFERROR(D135/B135,0)</f>
        <v>0</v>
      </c>
      <c r="E136" t="str">
        <f>IF(C136&gt;0.5, "Federal Share exceeds 50% of Total Project Cost", "")</f>
        <v/>
      </c>
    </row>
    <row r="137" spans="1:5">
      <c r="A137" s="64"/>
      <c r="B137" s="64"/>
      <c r="C137" s="64"/>
      <c r="D137" s="64"/>
    </row>
    <row r="138" spans="1:5">
      <c r="A138" s="66" t="s">
        <v>114</v>
      </c>
      <c r="B138" s="63">
        <f>SUM(AdminLegal[Column7], Land[Column7], Relocation[Column7], ArchitectEngineering[Column7], Inspections[Column7], SiteWork[Column7], Demolition[Column7], Construction[Column7],Equipment[Column7], Misc[Column7])</f>
        <v>0</v>
      </c>
      <c r="C138" s="64"/>
      <c r="D138" s="64"/>
    </row>
    <row r="139" spans="1:5">
      <c r="A139" s="116" t="s">
        <v>115</v>
      </c>
      <c r="B139" s="117" t="str">
        <f>IF(B13 =0, "", B13)</f>
        <v/>
      </c>
      <c r="C139" s="118"/>
      <c r="D139" s="118"/>
    </row>
  </sheetData>
  <mergeCells count="10">
    <mergeCell ref="B19:D20"/>
    <mergeCell ref="B5:D5"/>
    <mergeCell ref="B9:D9"/>
    <mergeCell ref="B11:D11"/>
    <mergeCell ref="D110:I110"/>
    <mergeCell ref="A108:I108"/>
    <mergeCell ref="B16:D17"/>
    <mergeCell ref="B7:D7"/>
    <mergeCell ref="D109:I109"/>
    <mergeCell ref="I32:J32"/>
  </mergeCells>
  <conditionalFormatting sqref="B121:D136">
    <cfRule type="expression" dxfId="243" priority="1">
      <formula>LEN($E121)</formula>
    </cfRule>
  </conditionalFormatting>
  <dataValidations count="2">
    <dataValidation type="list" errorStyle="warning" allowBlank="1" showInputMessage="1" showErrorMessage="1" sqref="H116:H117 H34:H37 I42" xr:uid="{569C82E2-4248-40D2-9572-231341546FAD}">
      <formula1>"Recipient, Subrecipient"</formula1>
    </dataValidation>
    <dataValidation type="list" errorStyle="warning" allowBlank="1" showInputMessage="1" showErrorMessage="1" sqref="I25:I28 I48:I51 I57:I60 I66:I69 I75:I78 I84:I87 I93:I96 I102:I105" xr:uid="{892EB329-F6F1-4318-9842-30D48FB161AE}">
      <formula1>"Recipient, Subrecipient, Contractor/Vendor"</formula1>
    </dataValidation>
  </dataValidations>
  <pageMargins left="0.25" right="0.25" top="0.5" bottom="0.5" header="0.3" footer="0.3"/>
  <pageSetup scale="55" fitToHeight="0" orientation="landscape" r:id="rId1"/>
  <headerFooter>
    <oddFooter>&amp;CDetailed Budget - Page &amp;P of &amp;N</oddFooter>
  </headerFooter>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90343-841D-4090-93AB-9501936EC12E}">
  <sheetPr>
    <tabColor theme="0" tint="-0.249977111117893"/>
    <pageSetUpPr fitToPage="1"/>
  </sheetPr>
  <dimension ref="A1:H163"/>
  <sheetViews>
    <sheetView showGridLines="0" zoomScale="115" zoomScaleNormal="90" zoomScalePageLayoutView="115" workbookViewId="0">
      <selection activeCell="D6" sqref="D6"/>
    </sheetView>
  </sheetViews>
  <sheetFormatPr defaultColWidth="8.7109375" defaultRowHeight="13.15"/>
  <cols>
    <col min="1" max="1" width="2.7109375" style="23" customWidth="1"/>
    <col min="2" max="2" width="48.7109375" style="23" customWidth="1"/>
    <col min="3" max="3" width="10.7109375" style="23" customWidth="1"/>
    <col min="4" max="5" width="20.7109375" style="24" customWidth="1"/>
    <col min="6" max="6" width="20.7109375" style="23" customWidth="1"/>
    <col min="7" max="7" width="5.28515625" style="22" customWidth="1"/>
    <col min="8" max="16384" width="8.7109375" style="22"/>
  </cols>
  <sheetData>
    <row r="1" spans="1:8" ht="30.75" customHeight="1">
      <c r="A1" s="30"/>
      <c r="B1" s="203" t="s">
        <v>116</v>
      </c>
      <c r="C1" s="204"/>
      <c r="D1" s="204"/>
      <c r="E1" s="204"/>
      <c r="F1" s="204"/>
      <c r="G1" s="31"/>
      <c r="H1" s="31"/>
    </row>
    <row r="2" spans="1:8" ht="11.25" customHeight="1">
      <c r="A2" s="32"/>
      <c r="B2" s="32"/>
      <c r="C2" s="33"/>
      <c r="D2" s="33"/>
      <c r="E2" s="33"/>
      <c r="F2" s="33" t="s">
        <v>117</v>
      </c>
      <c r="G2" s="31"/>
      <c r="H2" s="31"/>
    </row>
    <row r="3" spans="1:8" s="29" customFormat="1" ht="23.1" customHeight="1">
      <c r="A3" s="34" t="s">
        <v>118</v>
      </c>
      <c r="B3" s="35"/>
      <c r="C3" s="36"/>
      <c r="D3" s="36"/>
      <c r="E3" s="36"/>
      <c r="F3" s="34"/>
      <c r="G3" s="37"/>
      <c r="H3" s="37"/>
    </row>
    <row r="4" spans="1:8" ht="11.85" customHeight="1">
      <c r="A4" s="38" t="s">
        <v>119</v>
      </c>
      <c r="B4" s="39"/>
      <c r="C4" s="40"/>
      <c r="D4" s="40"/>
      <c r="E4" s="40"/>
      <c r="F4" s="40"/>
      <c r="G4" s="31"/>
      <c r="H4" s="31"/>
    </row>
    <row r="5" spans="1:8" ht="45" customHeight="1">
      <c r="A5" s="41" t="s">
        <v>120</v>
      </c>
      <c r="B5" s="42"/>
      <c r="C5" s="43"/>
      <c r="D5" s="44" t="s">
        <v>121</v>
      </c>
      <c r="E5" s="45" t="s">
        <v>122</v>
      </c>
      <c r="F5" s="46" t="s">
        <v>123</v>
      </c>
      <c r="G5" s="31"/>
      <c r="H5" s="31"/>
    </row>
    <row r="6" spans="1:8" ht="24" customHeight="1">
      <c r="A6" s="47" t="s">
        <v>124</v>
      </c>
      <c r="B6" s="48" t="s">
        <v>125</v>
      </c>
      <c r="C6" s="49"/>
      <c r="D6" s="50">
        <f>SUM(AdminLegal[Column4])</f>
        <v>0</v>
      </c>
      <c r="E6" s="50"/>
      <c r="F6" s="50">
        <f>SUM(AdminLegal[Column4])</f>
        <v>0</v>
      </c>
      <c r="G6" s="31"/>
      <c r="H6" s="31"/>
    </row>
    <row r="7" spans="1:8" ht="24" customHeight="1">
      <c r="A7" s="47" t="s">
        <v>126</v>
      </c>
      <c r="B7" s="48" t="s">
        <v>127</v>
      </c>
      <c r="C7" s="49"/>
      <c r="D7" s="50">
        <f>SUM(Land[Column4])</f>
        <v>0</v>
      </c>
      <c r="E7" s="50"/>
      <c r="F7" s="50">
        <f>SUM(Land[Column4])</f>
        <v>0</v>
      </c>
      <c r="G7" s="31"/>
      <c r="H7" s="31"/>
    </row>
    <row r="8" spans="1:8" ht="24" customHeight="1">
      <c r="A8" s="47" t="s">
        <v>128</v>
      </c>
      <c r="B8" s="48" t="s">
        <v>129</v>
      </c>
      <c r="C8" s="49"/>
      <c r="D8" s="50">
        <f>SUM(Relocation[Column4])</f>
        <v>0</v>
      </c>
      <c r="E8" s="50"/>
      <c r="F8" s="50">
        <f>SUM(Relocation[Column4])</f>
        <v>0</v>
      </c>
      <c r="G8" s="31"/>
      <c r="H8" s="31"/>
    </row>
    <row r="9" spans="1:8" ht="24" customHeight="1">
      <c r="A9" s="47" t="s">
        <v>130</v>
      </c>
      <c r="B9" s="48" t="s">
        <v>109</v>
      </c>
      <c r="C9" s="49"/>
      <c r="D9" s="50">
        <f>SUM(ArchitectEngineering[Column4])</f>
        <v>0</v>
      </c>
      <c r="E9" s="50"/>
      <c r="F9" s="50">
        <f>SUM(ArchitectEngineering[Column4])</f>
        <v>0</v>
      </c>
      <c r="G9" s="31"/>
      <c r="H9" s="31"/>
    </row>
    <row r="10" spans="1:8" ht="24" customHeight="1">
      <c r="A10" s="47" t="s">
        <v>131</v>
      </c>
      <c r="B10" s="48" t="s">
        <v>132</v>
      </c>
      <c r="C10" s="49"/>
      <c r="D10" s="50">
        <v>0</v>
      </c>
      <c r="E10" s="50"/>
      <c r="F10" s="50">
        <v>0</v>
      </c>
      <c r="G10" s="31"/>
      <c r="H10" s="31"/>
    </row>
    <row r="11" spans="1:8" ht="24" customHeight="1">
      <c r="A11" s="47" t="s">
        <v>133</v>
      </c>
      <c r="B11" s="51" t="s">
        <v>110</v>
      </c>
      <c r="C11" s="49"/>
      <c r="D11" s="50">
        <f>SUM(Inspections[Column4])</f>
        <v>0</v>
      </c>
      <c r="E11" s="50"/>
      <c r="F11" s="50">
        <f>SUM(Inspections[Column4])</f>
        <v>0</v>
      </c>
      <c r="G11" s="31"/>
      <c r="H11" s="31"/>
    </row>
    <row r="12" spans="1:8" s="29" customFormat="1" ht="24" customHeight="1">
      <c r="A12" s="47" t="s">
        <v>134</v>
      </c>
      <c r="B12" s="51" t="s">
        <v>111</v>
      </c>
      <c r="C12" s="52"/>
      <c r="D12" s="50">
        <f>SUM(SiteWork[Column4])</f>
        <v>0</v>
      </c>
      <c r="E12" s="50"/>
      <c r="F12" s="50">
        <f>SUM(SiteWork[Column4])</f>
        <v>0</v>
      </c>
      <c r="G12" s="37"/>
      <c r="H12" s="37"/>
    </row>
    <row r="13" spans="1:8" s="29" customFormat="1" ht="24" customHeight="1">
      <c r="A13" s="47" t="s">
        <v>135</v>
      </c>
      <c r="B13" s="51" t="s">
        <v>136</v>
      </c>
      <c r="C13" s="52"/>
      <c r="D13" s="50">
        <f>SUM(Demolition[Column4])</f>
        <v>0</v>
      </c>
      <c r="E13" s="50"/>
      <c r="F13" s="50">
        <f>SUM(Demolition[Column4])</f>
        <v>0</v>
      </c>
      <c r="G13" s="37"/>
      <c r="H13" s="37"/>
    </row>
    <row r="14" spans="1:8" ht="24" customHeight="1">
      <c r="A14" s="47" t="s">
        <v>137</v>
      </c>
      <c r="B14" s="51" t="s">
        <v>75</v>
      </c>
      <c r="C14" s="49"/>
      <c r="D14" s="50">
        <f>SUM(Construction[Column4])</f>
        <v>0</v>
      </c>
      <c r="E14" s="50"/>
      <c r="F14" s="50">
        <f>SUM(Construction[Column4])</f>
        <v>0</v>
      </c>
      <c r="G14" s="31"/>
      <c r="H14" s="31"/>
    </row>
    <row r="15" spans="1:8" ht="24" customHeight="1">
      <c r="A15" s="47" t="s">
        <v>138</v>
      </c>
      <c r="B15" s="51" t="s">
        <v>80</v>
      </c>
      <c r="C15" s="49"/>
      <c r="D15" s="50">
        <f>SUM(Equipment[Column4])</f>
        <v>0</v>
      </c>
      <c r="E15" s="50"/>
      <c r="F15" s="50">
        <f>SUM(Equipment[Column4])</f>
        <v>0</v>
      </c>
      <c r="G15" s="31"/>
      <c r="H15" s="31"/>
    </row>
    <row r="16" spans="1:8" ht="24" customHeight="1">
      <c r="A16" s="47" t="s">
        <v>139</v>
      </c>
      <c r="B16" s="51" t="s">
        <v>85</v>
      </c>
      <c r="C16" s="49"/>
      <c r="D16" s="50">
        <f>SUM(Misc[Column4], Indirect[Column5])</f>
        <v>0</v>
      </c>
      <c r="E16" s="50"/>
      <c r="F16" s="50">
        <f>SUM(Misc[Column4], Indirect[Column5])</f>
        <v>0</v>
      </c>
      <c r="G16" s="31"/>
      <c r="H16" s="31"/>
    </row>
    <row r="17" spans="1:8" ht="24" customHeight="1">
      <c r="A17" s="47" t="s">
        <v>140</v>
      </c>
      <c r="B17" s="51" t="s">
        <v>141</v>
      </c>
      <c r="C17" s="49"/>
      <c r="D17" s="50">
        <f>SUM(D6:D16)</f>
        <v>0</v>
      </c>
      <c r="E17" s="50"/>
      <c r="F17" s="50">
        <f>SUM(F6:F16)</f>
        <v>0</v>
      </c>
      <c r="G17" s="31"/>
      <c r="H17" s="31"/>
    </row>
    <row r="18" spans="1:8" ht="24" customHeight="1">
      <c r="A18" s="47" t="s">
        <v>142</v>
      </c>
      <c r="B18" s="51" t="s">
        <v>143</v>
      </c>
      <c r="C18" s="49"/>
      <c r="D18" s="50">
        <f>SUM(Contingency[Column1])</f>
        <v>0</v>
      </c>
      <c r="E18" s="50"/>
      <c r="F18" s="50">
        <f>SUM(Contingency[Column1])</f>
        <v>0</v>
      </c>
      <c r="G18" s="31"/>
      <c r="H18" s="31"/>
    </row>
    <row r="19" spans="1:8" ht="24" customHeight="1">
      <c r="A19" s="47" t="s">
        <v>144</v>
      </c>
      <c r="B19" s="51" t="s">
        <v>145</v>
      </c>
      <c r="C19" s="49"/>
      <c r="D19" s="50">
        <f>SUM(D17:D18)</f>
        <v>0</v>
      </c>
      <c r="E19" s="50"/>
      <c r="F19" s="50">
        <f>SUM(F17:F18)</f>
        <v>0</v>
      </c>
      <c r="G19" s="31"/>
      <c r="H19" s="31"/>
    </row>
    <row r="20" spans="1:8" ht="24" customHeight="1">
      <c r="A20" s="47" t="s">
        <v>146</v>
      </c>
      <c r="B20" s="51" t="s">
        <v>147</v>
      </c>
      <c r="C20" s="49"/>
      <c r="D20" s="50">
        <v>0</v>
      </c>
      <c r="E20" s="50"/>
      <c r="F20" s="50">
        <v>0</v>
      </c>
      <c r="G20" s="31"/>
      <c r="H20" s="31"/>
    </row>
    <row r="21" spans="1:8" ht="24" customHeight="1">
      <c r="A21" s="47" t="s">
        <v>148</v>
      </c>
      <c r="B21" s="51" t="s">
        <v>149</v>
      </c>
      <c r="C21" s="49"/>
      <c r="D21" s="50">
        <f>D19</f>
        <v>0</v>
      </c>
      <c r="E21" s="50"/>
      <c r="F21" s="50">
        <f>F19</f>
        <v>0</v>
      </c>
      <c r="G21" s="31"/>
      <c r="H21" s="31"/>
    </row>
    <row r="22" spans="1:8" ht="24" customHeight="1">
      <c r="A22" s="53" t="s">
        <v>150</v>
      </c>
      <c r="B22" s="40"/>
      <c r="C22" s="40"/>
      <c r="D22" s="40"/>
      <c r="E22" s="40"/>
      <c r="F22" s="54"/>
      <c r="G22" s="31"/>
      <c r="H22" s="31"/>
    </row>
    <row r="23" spans="1:8" s="28" customFormat="1" ht="24" customHeight="1">
      <c r="A23" s="55" t="s">
        <v>151</v>
      </c>
      <c r="B23" s="32" t="s">
        <v>152</v>
      </c>
      <c r="C23" s="56"/>
      <c r="D23" s="32" t="str">
        <f>_xlfn.CONCAT("Multiply by  ", 'Park Development &amp; Acquisition'!C136*100," %")</f>
        <v>Multiply by  0 %</v>
      </c>
      <c r="E23" s="32"/>
      <c r="F23" s="57">
        <f>'Park Development &amp; Acquisition'!C135</f>
        <v>0</v>
      </c>
      <c r="G23" s="58"/>
      <c r="H23" s="58"/>
    </row>
    <row r="24" spans="1:8" s="28" customFormat="1" ht="12" customHeight="1">
      <c r="A24" s="59"/>
      <c r="B24" s="32" t="s">
        <v>153</v>
      </c>
      <c r="C24" s="32"/>
      <c r="D24" s="32"/>
      <c r="E24" s="32"/>
      <c r="F24" s="57"/>
      <c r="G24" s="58"/>
      <c r="H24" s="58"/>
    </row>
    <row r="25" spans="1:8" s="28" customFormat="1" ht="12" customHeight="1">
      <c r="A25" s="59"/>
      <c r="B25" s="32" t="s">
        <v>154</v>
      </c>
      <c r="C25" s="32"/>
      <c r="D25" s="32"/>
      <c r="E25" s="32"/>
      <c r="F25" s="57"/>
      <c r="G25" s="58"/>
      <c r="H25" s="58"/>
    </row>
    <row r="26" spans="1:8" s="28" customFormat="1" ht="9" customHeight="1">
      <c r="A26" s="60"/>
      <c r="B26" s="61"/>
      <c r="C26" s="61"/>
      <c r="D26" s="61"/>
      <c r="E26" s="61"/>
      <c r="F26" s="62"/>
      <c r="G26" s="58"/>
      <c r="H26" s="58"/>
    </row>
    <row r="27" spans="1:8" ht="19.149999999999999" customHeight="1">
      <c r="A27" s="25"/>
      <c r="B27" s="25"/>
      <c r="C27" s="25"/>
      <c r="D27" s="25"/>
      <c r="E27" s="25"/>
      <c r="F27" s="27"/>
    </row>
    <row r="28" spans="1:8" ht="12" customHeight="1">
      <c r="A28" s="25"/>
      <c r="B28" s="25"/>
      <c r="C28" s="25"/>
      <c r="D28" s="25"/>
      <c r="E28" s="25"/>
      <c r="F28" s="26"/>
    </row>
    <row r="29" spans="1:8" ht="24" customHeight="1">
      <c r="A29" s="25"/>
      <c r="B29" s="25"/>
      <c r="C29" s="25"/>
      <c r="D29" s="25"/>
      <c r="E29" s="25"/>
      <c r="F29" s="25"/>
    </row>
    <row r="30" spans="1:8" ht="24" customHeight="1">
      <c r="A30" s="25"/>
      <c r="B30" s="25"/>
      <c r="C30" s="25"/>
      <c r="D30" s="25"/>
      <c r="E30" s="25"/>
      <c r="F30" s="25"/>
    </row>
    <row r="31" spans="1:8" ht="24" customHeight="1">
      <c r="A31" s="25"/>
      <c r="B31" s="25"/>
      <c r="C31" s="25"/>
      <c r="D31" s="25"/>
      <c r="E31" s="25"/>
      <c r="F31" s="25"/>
    </row>
    <row r="32" spans="1:8" ht="24" customHeight="1">
      <c r="A32" s="25"/>
      <c r="B32" s="25"/>
      <c r="C32" s="25"/>
      <c r="D32" s="25"/>
      <c r="E32" s="25"/>
      <c r="F32" s="25"/>
    </row>
    <row r="33" spans="1:6" ht="24" customHeight="1">
      <c r="A33" s="25"/>
      <c r="B33" s="25"/>
      <c r="C33" s="25"/>
      <c r="D33" s="25"/>
      <c r="E33" s="25"/>
      <c r="F33" s="25"/>
    </row>
    <row r="34" spans="1:6" ht="24" customHeight="1">
      <c r="A34" s="25"/>
      <c r="B34" s="25"/>
      <c r="C34" s="25"/>
      <c r="D34" s="25"/>
      <c r="E34" s="25"/>
      <c r="F34" s="25"/>
    </row>
    <row r="35" spans="1:6" ht="24" customHeight="1">
      <c r="A35" s="25"/>
      <c r="B35" s="25"/>
      <c r="C35" s="25"/>
      <c r="D35" s="25"/>
      <c r="E35" s="25"/>
      <c r="F35" s="25"/>
    </row>
    <row r="36" spans="1:6" ht="24" customHeight="1">
      <c r="A36" s="25"/>
      <c r="B36" s="25"/>
      <c r="C36" s="25"/>
      <c r="D36" s="25"/>
      <c r="E36" s="25"/>
      <c r="F36" s="25"/>
    </row>
    <row r="37" spans="1:6" ht="24" customHeight="1">
      <c r="A37" s="25"/>
      <c r="B37" s="25"/>
      <c r="C37" s="25"/>
      <c r="D37" s="25"/>
      <c r="E37" s="25"/>
      <c r="F37" s="25"/>
    </row>
    <row r="38" spans="1:6" ht="24" customHeight="1">
      <c r="A38" s="25"/>
      <c r="B38" s="25"/>
      <c r="C38" s="25"/>
      <c r="D38" s="25"/>
      <c r="E38" s="25"/>
      <c r="F38" s="25"/>
    </row>
    <row r="39" spans="1:6" ht="24" customHeight="1">
      <c r="A39" s="25"/>
      <c r="B39" s="25"/>
      <c r="C39" s="25"/>
      <c r="D39" s="25"/>
      <c r="E39" s="25"/>
      <c r="F39" s="25"/>
    </row>
    <row r="40" spans="1:6" ht="24" customHeight="1">
      <c r="A40" s="25"/>
      <c r="B40" s="25"/>
      <c r="C40" s="25"/>
      <c r="D40" s="25"/>
      <c r="E40" s="25"/>
      <c r="F40" s="25"/>
    </row>
    <row r="41" spans="1:6" ht="24" customHeight="1">
      <c r="A41" s="25"/>
      <c r="B41" s="25"/>
      <c r="C41" s="25"/>
      <c r="D41" s="25"/>
      <c r="E41" s="25"/>
      <c r="F41" s="25"/>
    </row>
    <row r="42" spans="1:6">
      <c r="A42" s="25"/>
      <c r="B42" s="25"/>
      <c r="C42" s="25"/>
      <c r="D42" s="25"/>
      <c r="E42" s="25"/>
      <c r="F42" s="25"/>
    </row>
    <row r="43" spans="1:6">
      <c r="A43" s="25"/>
      <c r="B43" s="25"/>
      <c r="C43" s="25"/>
      <c r="D43" s="25"/>
      <c r="E43" s="25"/>
      <c r="F43" s="25"/>
    </row>
    <row r="44" spans="1:6">
      <c r="A44" s="25"/>
      <c r="B44" s="25"/>
      <c r="C44" s="25"/>
      <c r="D44" s="25"/>
      <c r="E44" s="25"/>
      <c r="F44" s="25"/>
    </row>
    <row r="45" spans="1:6">
      <c r="A45" s="25"/>
      <c r="B45" s="25"/>
      <c r="C45" s="25"/>
      <c r="D45" s="25"/>
      <c r="E45" s="25"/>
      <c r="F45" s="25"/>
    </row>
    <row r="46" spans="1:6">
      <c r="A46" s="25"/>
      <c r="B46" s="25"/>
      <c r="C46" s="25"/>
      <c r="D46" s="25"/>
      <c r="E46" s="25"/>
      <c r="F46" s="25"/>
    </row>
    <row r="47" spans="1:6">
      <c r="A47" s="25"/>
      <c r="B47" s="25"/>
      <c r="C47" s="25"/>
      <c r="D47" s="25"/>
      <c r="E47" s="25"/>
      <c r="F47" s="25"/>
    </row>
    <row r="48" spans="1:6">
      <c r="A48" s="25"/>
      <c r="B48" s="25"/>
      <c r="C48" s="25"/>
      <c r="D48" s="25"/>
      <c r="E48" s="25"/>
      <c r="F48" s="25"/>
    </row>
    <row r="49" spans="1:6">
      <c r="A49" s="25"/>
      <c r="B49" s="25"/>
      <c r="C49" s="25"/>
      <c r="D49" s="25"/>
      <c r="E49" s="25"/>
      <c r="F49" s="25"/>
    </row>
    <row r="50" spans="1:6">
      <c r="A50" s="25"/>
      <c r="B50" s="25"/>
      <c r="C50" s="25"/>
      <c r="D50" s="25"/>
      <c r="E50" s="25"/>
      <c r="F50" s="25"/>
    </row>
    <row r="51" spans="1:6">
      <c r="A51" s="25"/>
      <c r="B51" s="25"/>
      <c r="C51" s="25"/>
      <c r="D51" s="25"/>
      <c r="E51" s="25"/>
      <c r="F51" s="25"/>
    </row>
    <row r="52" spans="1:6">
      <c r="A52" s="25"/>
      <c r="B52" s="25"/>
      <c r="C52" s="25"/>
      <c r="D52" s="25"/>
      <c r="E52" s="25"/>
      <c r="F52" s="25"/>
    </row>
    <row r="53" spans="1:6">
      <c r="A53" s="25"/>
      <c r="B53" s="25"/>
      <c r="C53" s="25"/>
      <c r="D53" s="25"/>
      <c r="E53" s="25"/>
      <c r="F53" s="25"/>
    </row>
    <row r="54" spans="1:6">
      <c r="A54" s="25"/>
      <c r="B54" s="25"/>
      <c r="C54" s="25"/>
      <c r="D54" s="25"/>
      <c r="E54" s="25"/>
      <c r="F54" s="25"/>
    </row>
    <row r="55" spans="1:6">
      <c r="A55" s="25"/>
      <c r="B55" s="25"/>
      <c r="C55" s="25"/>
      <c r="D55" s="25"/>
      <c r="E55" s="25"/>
      <c r="F55" s="25"/>
    </row>
    <row r="56" spans="1:6">
      <c r="A56" s="25"/>
      <c r="B56" s="25"/>
      <c r="C56" s="25"/>
      <c r="D56" s="25"/>
      <c r="E56" s="25"/>
      <c r="F56" s="25"/>
    </row>
    <row r="57" spans="1:6">
      <c r="A57" s="25"/>
      <c r="B57" s="25"/>
      <c r="C57" s="25"/>
      <c r="D57" s="25"/>
      <c r="E57" s="25"/>
      <c r="F57" s="25"/>
    </row>
    <row r="58" spans="1:6">
      <c r="A58" s="25"/>
      <c r="B58" s="25"/>
      <c r="C58" s="25"/>
      <c r="D58" s="25"/>
      <c r="E58" s="25"/>
      <c r="F58" s="25"/>
    </row>
    <row r="59" spans="1:6">
      <c r="A59" s="25"/>
      <c r="B59" s="25"/>
      <c r="C59" s="25"/>
      <c r="D59" s="25"/>
      <c r="E59" s="25"/>
      <c r="F59" s="25"/>
    </row>
    <row r="60" spans="1:6">
      <c r="A60" s="25"/>
      <c r="B60" s="25"/>
      <c r="C60" s="25"/>
      <c r="D60" s="25"/>
      <c r="E60" s="25"/>
      <c r="F60" s="25"/>
    </row>
    <row r="61" spans="1:6">
      <c r="A61" s="25"/>
      <c r="B61" s="25"/>
      <c r="C61" s="25"/>
      <c r="D61" s="25"/>
      <c r="E61" s="25"/>
      <c r="F61" s="25"/>
    </row>
    <row r="62" spans="1:6">
      <c r="A62" s="25"/>
      <c r="B62" s="25"/>
      <c r="C62" s="25"/>
      <c r="D62" s="25"/>
      <c r="E62" s="25"/>
      <c r="F62" s="25"/>
    </row>
    <row r="63" spans="1:6">
      <c r="A63" s="25"/>
      <c r="B63" s="25"/>
      <c r="C63" s="25"/>
      <c r="D63" s="25"/>
      <c r="E63" s="25"/>
      <c r="F63" s="25"/>
    </row>
    <row r="64" spans="1:6">
      <c r="A64" s="25"/>
      <c r="B64" s="25"/>
      <c r="C64" s="25"/>
      <c r="D64" s="25"/>
      <c r="E64" s="25"/>
      <c r="F64" s="25"/>
    </row>
    <row r="65" spans="1:6">
      <c r="A65" s="25"/>
      <c r="B65" s="25"/>
      <c r="C65" s="25"/>
      <c r="D65" s="25"/>
      <c r="E65" s="25"/>
      <c r="F65" s="25"/>
    </row>
    <row r="66" spans="1:6">
      <c r="A66" s="25"/>
      <c r="B66" s="25"/>
      <c r="C66" s="25"/>
      <c r="D66" s="25"/>
      <c r="E66" s="25"/>
      <c r="F66" s="25"/>
    </row>
    <row r="67" spans="1:6">
      <c r="A67" s="25"/>
      <c r="B67" s="25"/>
      <c r="C67" s="25"/>
      <c r="D67" s="25"/>
      <c r="E67" s="25"/>
      <c r="F67" s="25"/>
    </row>
    <row r="68" spans="1:6">
      <c r="A68" s="25"/>
      <c r="B68" s="25"/>
      <c r="C68" s="25"/>
      <c r="D68" s="25"/>
      <c r="E68" s="25"/>
      <c r="F68" s="25"/>
    </row>
    <row r="69" spans="1:6">
      <c r="A69" s="25"/>
      <c r="B69" s="25"/>
      <c r="C69" s="25"/>
      <c r="D69" s="25"/>
      <c r="E69" s="25"/>
      <c r="F69" s="25"/>
    </row>
    <row r="70" spans="1:6">
      <c r="A70" s="25"/>
      <c r="B70" s="25"/>
      <c r="C70" s="25"/>
      <c r="D70" s="25"/>
      <c r="E70" s="25"/>
      <c r="F70" s="25"/>
    </row>
    <row r="71" spans="1:6">
      <c r="A71" s="25"/>
      <c r="B71" s="25"/>
      <c r="C71" s="25"/>
      <c r="D71" s="25"/>
      <c r="E71" s="25"/>
      <c r="F71" s="25"/>
    </row>
    <row r="72" spans="1:6">
      <c r="A72" s="25"/>
      <c r="B72" s="25"/>
      <c r="C72" s="25"/>
      <c r="D72" s="25"/>
      <c r="E72" s="25"/>
      <c r="F72" s="25"/>
    </row>
    <row r="73" spans="1:6">
      <c r="A73" s="25"/>
      <c r="B73" s="25"/>
      <c r="C73" s="25"/>
      <c r="D73" s="25"/>
      <c r="E73" s="25"/>
      <c r="F73" s="25"/>
    </row>
    <row r="74" spans="1:6">
      <c r="A74" s="25"/>
      <c r="B74" s="25"/>
      <c r="C74" s="25"/>
      <c r="D74" s="25"/>
      <c r="E74" s="25"/>
      <c r="F74" s="25"/>
    </row>
    <row r="75" spans="1:6">
      <c r="A75" s="25"/>
      <c r="B75" s="25"/>
      <c r="C75" s="25"/>
      <c r="D75" s="25"/>
      <c r="E75" s="25"/>
      <c r="F75" s="25"/>
    </row>
    <row r="76" spans="1:6">
      <c r="A76" s="25"/>
      <c r="B76" s="25"/>
      <c r="C76" s="25"/>
      <c r="D76" s="25"/>
      <c r="E76" s="25"/>
      <c r="F76" s="25"/>
    </row>
    <row r="77" spans="1:6">
      <c r="A77" s="25"/>
      <c r="B77" s="25"/>
      <c r="C77" s="25"/>
      <c r="D77" s="25"/>
      <c r="E77" s="25"/>
      <c r="F77" s="25"/>
    </row>
    <row r="78" spans="1:6">
      <c r="A78" s="25"/>
      <c r="B78" s="25"/>
      <c r="C78" s="25"/>
      <c r="D78" s="25"/>
      <c r="E78" s="25"/>
      <c r="F78" s="25"/>
    </row>
    <row r="79" spans="1:6">
      <c r="A79" s="25"/>
      <c r="B79" s="25"/>
      <c r="C79" s="25"/>
      <c r="D79" s="25"/>
      <c r="E79" s="25"/>
      <c r="F79" s="25"/>
    </row>
    <row r="80" spans="1:6">
      <c r="A80" s="25"/>
      <c r="B80" s="25"/>
      <c r="C80" s="25"/>
      <c r="D80" s="25"/>
      <c r="E80" s="25"/>
      <c r="F80" s="25"/>
    </row>
    <row r="81" spans="1:6">
      <c r="A81" s="25"/>
      <c r="B81" s="25"/>
      <c r="C81" s="25"/>
      <c r="D81" s="25"/>
      <c r="E81" s="25"/>
      <c r="F81" s="25"/>
    </row>
    <row r="82" spans="1:6">
      <c r="A82" s="25"/>
      <c r="B82" s="25"/>
      <c r="C82" s="25"/>
      <c r="D82" s="25"/>
      <c r="E82" s="25"/>
      <c r="F82" s="25"/>
    </row>
    <row r="83" spans="1:6">
      <c r="A83" s="25"/>
      <c r="B83" s="25"/>
      <c r="C83" s="25"/>
      <c r="D83" s="25"/>
      <c r="E83" s="25"/>
      <c r="F83" s="25"/>
    </row>
    <row r="84" spans="1:6">
      <c r="A84" s="25"/>
      <c r="B84" s="25"/>
      <c r="C84" s="25"/>
      <c r="D84" s="25"/>
      <c r="E84" s="25"/>
      <c r="F84" s="25"/>
    </row>
    <row r="85" spans="1:6">
      <c r="A85" s="25"/>
      <c r="B85" s="25"/>
      <c r="C85" s="25"/>
      <c r="D85" s="25"/>
      <c r="E85" s="25"/>
      <c r="F85" s="25"/>
    </row>
    <row r="86" spans="1:6">
      <c r="A86" s="25"/>
      <c r="B86" s="25"/>
      <c r="C86" s="25"/>
      <c r="D86" s="25"/>
      <c r="E86" s="25"/>
      <c r="F86" s="25"/>
    </row>
    <row r="87" spans="1:6">
      <c r="A87" s="25"/>
      <c r="B87" s="25"/>
      <c r="C87" s="25"/>
      <c r="D87" s="25"/>
      <c r="E87" s="25"/>
      <c r="F87" s="25"/>
    </row>
    <row r="88" spans="1:6">
      <c r="A88" s="25"/>
      <c r="B88" s="25"/>
      <c r="C88" s="25"/>
      <c r="D88" s="25"/>
      <c r="E88" s="25"/>
      <c r="F88" s="25"/>
    </row>
    <row r="89" spans="1:6">
      <c r="A89" s="25"/>
      <c r="B89" s="25"/>
      <c r="C89" s="25"/>
      <c r="D89" s="25"/>
      <c r="E89" s="25"/>
      <c r="F89" s="25"/>
    </row>
    <row r="90" spans="1:6">
      <c r="A90" s="25"/>
      <c r="B90" s="25"/>
      <c r="C90" s="25"/>
      <c r="D90" s="25"/>
      <c r="E90" s="25"/>
      <c r="F90" s="25"/>
    </row>
    <row r="91" spans="1:6">
      <c r="A91" s="25"/>
      <c r="B91" s="25"/>
      <c r="C91" s="25"/>
      <c r="D91" s="25"/>
      <c r="E91" s="25"/>
      <c r="F91" s="25"/>
    </row>
    <row r="92" spans="1:6">
      <c r="A92" s="25"/>
      <c r="B92" s="25"/>
      <c r="C92" s="25"/>
      <c r="D92" s="25"/>
      <c r="E92" s="25"/>
      <c r="F92" s="25"/>
    </row>
    <row r="93" spans="1:6">
      <c r="A93" s="25"/>
      <c r="B93" s="25"/>
      <c r="C93" s="25"/>
      <c r="D93" s="25"/>
      <c r="E93" s="25"/>
      <c r="F93" s="25"/>
    </row>
    <row r="94" spans="1:6">
      <c r="A94" s="25"/>
      <c r="B94" s="25"/>
      <c r="C94" s="25"/>
      <c r="D94" s="25"/>
      <c r="E94" s="25"/>
      <c r="F94" s="25"/>
    </row>
    <row r="95" spans="1:6">
      <c r="A95" s="25"/>
      <c r="B95" s="25"/>
      <c r="C95" s="25"/>
      <c r="D95" s="25"/>
      <c r="E95" s="25"/>
      <c r="F95" s="25"/>
    </row>
    <row r="96" spans="1:6">
      <c r="A96" s="25"/>
      <c r="B96" s="25"/>
      <c r="C96" s="25"/>
      <c r="D96" s="25"/>
      <c r="E96" s="25"/>
      <c r="F96" s="25"/>
    </row>
    <row r="97" spans="1:6">
      <c r="A97" s="25"/>
      <c r="B97" s="25"/>
      <c r="C97" s="25"/>
      <c r="D97" s="25"/>
      <c r="E97" s="25"/>
      <c r="F97" s="25"/>
    </row>
    <row r="98" spans="1:6">
      <c r="A98" s="25"/>
      <c r="B98" s="25"/>
      <c r="C98" s="25"/>
      <c r="D98" s="25"/>
      <c r="E98" s="25"/>
      <c r="F98" s="25"/>
    </row>
    <row r="99" spans="1:6">
      <c r="A99" s="25"/>
      <c r="B99" s="25"/>
      <c r="C99" s="25"/>
      <c r="D99" s="25"/>
      <c r="E99" s="25"/>
      <c r="F99" s="25"/>
    </row>
    <row r="100" spans="1:6">
      <c r="A100" s="25"/>
      <c r="B100" s="25"/>
      <c r="C100" s="25"/>
      <c r="D100" s="25"/>
      <c r="E100" s="25"/>
      <c r="F100" s="25"/>
    </row>
    <row r="101" spans="1:6">
      <c r="A101" s="25"/>
      <c r="B101" s="25"/>
      <c r="C101" s="25"/>
      <c r="D101" s="25"/>
      <c r="E101" s="25"/>
      <c r="F101" s="25"/>
    </row>
    <row r="102" spans="1:6">
      <c r="A102" s="25"/>
      <c r="B102" s="25"/>
      <c r="C102" s="25"/>
      <c r="D102" s="25"/>
      <c r="E102" s="25"/>
      <c r="F102" s="25"/>
    </row>
    <row r="103" spans="1:6">
      <c r="A103" s="25"/>
      <c r="B103" s="25"/>
      <c r="C103" s="25"/>
      <c r="D103" s="25"/>
      <c r="E103" s="25"/>
      <c r="F103" s="25"/>
    </row>
    <row r="104" spans="1:6">
      <c r="A104" s="25"/>
      <c r="B104" s="25"/>
      <c r="C104" s="25"/>
      <c r="D104" s="25"/>
      <c r="E104" s="25"/>
      <c r="F104" s="25"/>
    </row>
    <row r="105" spans="1:6">
      <c r="A105" s="25"/>
      <c r="B105" s="25"/>
      <c r="C105" s="25"/>
      <c r="D105" s="25"/>
      <c r="E105" s="25"/>
      <c r="F105" s="25"/>
    </row>
    <row r="106" spans="1:6">
      <c r="A106" s="25"/>
      <c r="B106" s="25"/>
      <c r="C106" s="25"/>
      <c r="D106" s="25"/>
      <c r="E106" s="25"/>
      <c r="F106" s="25"/>
    </row>
    <row r="107" spans="1:6">
      <c r="A107" s="25"/>
      <c r="B107" s="25"/>
      <c r="C107" s="25"/>
      <c r="D107" s="25"/>
      <c r="E107" s="25"/>
      <c r="F107" s="25"/>
    </row>
    <row r="108" spans="1:6">
      <c r="A108" s="25"/>
      <c r="B108" s="25"/>
      <c r="C108" s="25"/>
      <c r="D108" s="25"/>
      <c r="E108" s="25"/>
      <c r="F108" s="25"/>
    </row>
    <row r="109" spans="1:6">
      <c r="A109" s="25"/>
      <c r="B109" s="25"/>
      <c r="C109" s="25"/>
      <c r="D109" s="25"/>
      <c r="E109" s="25"/>
      <c r="F109" s="25"/>
    </row>
    <row r="110" spans="1:6">
      <c r="A110" s="25"/>
      <c r="B110" s="25"/>
      <c r="C110" s="25"/>
      <c r="D110" s="25"/>
      <c r="E110" s="25"/>
      <c r="F110" s="25"/>
    </row>
    <row r="111" spans="1:6">
      <c r="A111" s="25"/>
      <c r="B111" s="25"/>
      <c r="C111" s="25"/>
      <c r="D111" s="25"/>
      <c r="E111" s="25"/>
      <c r="F111" s="25"/>
    </row>
    <row r="112" spans="1:6">
      <c r="A112" s="25"/>
      <c r="B112" s="25"/>
      <c r="C112" s="25"/>
      <c r="D112" s="25"/>
      <c r="E112" s="25"/>
      <c r="F112" s="25"/>
    </row>
    <row r="113" spans="1:6">
      <c r="A113" s="25"/>
      <c r="B113" s="25"/>
      <c r="C113" s="25"/>
      <c r="D113" s="25"/>
      <c r="E113" s="25"/>
      <c r="F113" s="25"/>
    </row>
    <row r="114" spans="1:6">
      <c r="A114" s="25"/>
      <c r="B114" s="25"/>
      <c r="C114" s="25"/>
      <c r="D114" s="25"/>
      <c r="E114" s="25"/>
      <c r="F114" s="25"/>
    </row>
    <row r="115" spans="1:6">
      <c r="A115" s="25"/>
      <c r="B115" s="25"/>
      <c r="C115" s="25"/>
      <c r="D115" s="25"/>
      <c r="E115" s="25"/>
      <c r="F115" s="25"/>
    </row>
    <row r="116" spans="1:6">
      <c r="A116" s="25"/>
      <c r="B116" s="25"/>
      <c r="C116" s="25"/>
      <c r="D116" s="25"/>
      <c r="E116" s="25"/>
      <c r="F116" s="25"/>
    </row>
    <row r="117" spans="1:6">
      <c r="A117" s="25"/>
      <c r="B117" s="25"/>
      <c r="C117" s="25"/>
      <c r="D117" s="25"/>
      <c r="E117" s="25"/>
      <c r="F117" s="25"/>
    </row>
    <row r="118" spans="1:6">
      <c r="A118" s="25"/>
      <c r="B118" s="25"/>
      <c r="C118" s="25"/>
      <c r="D118" s="25"/>
      <c r="E118" s="25"/>
      <c r="F118" s="25"/>
    </row>
    <row r="119" spans="1:6">
      <c r="A119" s="25"/>
      <c r="B119" s="25"/>
      <c r="C119" s="25"/>
      <c r="D119" s="25"/>
      <c r="E119" s="25"/>
      <c r="F119" s="25"/>
    </row>
    <row r="120" spans="1:6">
      <c r="A120" s="25"/>
      <c r="B120" s="25"/>
      <c r="C120" s="25"/>
      <c r="D120" s="25"/>
      <c r="E120" s="25"/>
      <c r="F120" s="25"/>
    </row>
    <row r="121" spans="1:6">
      <c r="A121" s="25"/>
      <c r="B121" s="25"/>
      <c r="C121" s="25"/>
      <c r="D121" s="25"/>
      <c r="E121" s="25"/>
      <c r="F121" s="25"/>
    </row>
    <row r="122" spans="1:6">
      <c r="A122" s="25"/>
      <c r="B122" s="25"/>
      <c r="C122" s="25"/>
      <c r="D122" s="25"/>
      <c r="E122" s="25"/>
      <c r="F122" s="25"/>
    </row>
    <row r="123" spans="1:6">
      <c r="A123" s="25"/>
      <c r="B123" s="25"/>
      <c r="C123" s="25"/>
      <c r="D123" s="25"/>
      <c r="E123" s="25"/>
      <c r="F123" s="25"/>
    </row>
    <row r="124" spans="1:6">
      <c r="A124" s="25"/>
      <c r="B124" s="25"/>
      <c r="C124" s="25"/>
      <c r="D124" s="25"/>
      <c r="E124" s="25"/>
      <c r="F124" s="25"/>
    </row>
    <row r="125" spans="1:6">
      <c r="A125" s="25"/>
      <c r="B125" s="25"/>
      <c r="C125" s="25"/>
      <c r="D125" s="25"/>
      <c r="E125" s="25"/>
      <c r="F125" s="25"/>
    </row>
    <row r="126" spans="1:6">
      <c r="A126" s="25"/>
      <c r="B126" s="25"/>
      <c r="C126" s="25"/>
      <c r="D126" s="25"/>
      <c r="E126" s="25"/>
      <c r="F126" s="25"/>
    </row>
    <row r="127" spans="1:6">
      <c r="A127" s="25"/>
      <c r="B127" s="25"/>
      <c r="C127" s="25"/>
      <c r="D127" s="25"/>
      <c r="E127" s="25"/>
      <c r="F127" s="25"/>
    </row>
    <row r="128" spans="1:6">
      <c r="A128" s="25"/>
      <c r="B128" s="25"/>
      <c r="C128" s="25"/>
      <c r="D128" s="25"/>
      <c r="E128" s="25"/>
      <c r="F128" s="25"/>
    </row>
    <row r="129" spans="1:6">
      <c r="A129" s="25"/>
      <c r="B129" s="25"/>
      <c r="C129" s="25"/>
      <c r="D129" s="25"/>
      <c r="E129" s="25"/>
      <c r="F129" s="25"/>
    </row>
    <row r="130" spans="1:6">
      <c r="A130" s="25"/>
      <c r="B130" s="25"/>
      <c r="C130" s="25"/>
      <c r="D130" s="25"/>
      <c r="E130" s="25"/>
      <c r="F130" s="25"/>
    </row>
    <row r="131" spans="1:6">
      <c r="A131" s="25"/>
      <c r="B131" s="25"/>
      <c r="C131" s="25"/>
      <c r="D131" s="25"/>
      <c r="E131" s="25"/>
      <c r="F131" s="25"/>
    </row>
    <row r="132" spans="1:6">
      <c r="A132" s="25"/>
      <c r="B132" s="25"/>
      <c r="C132" s="25"/>
      <c r="D132" s="25"/>
      <c r="E132" s="25"/>
      <c r="F132" s="25"/>
    </row>
    <row r="133" spans="1:6">
      <c r="A133" s="25"/>
      <c r="B133" s="25"/>
      <c r="C133" s="25"/>
      <c r="D133" s="25"/>
      <c r="E133" s="25"/>
      <c r="F133" s="25"/>
    </row>
    <row r="134" spans="1:6">
      <c r="A134" s="25"/>
      <c r="B134" s="25"/>
      <c r="C134" s="25"/>
      <c r="D134" s="25"/>
      <c r="E134" s="25"/>
      <c r="F134" s="25"/>
    </row>
    <row r="135" spans="1:6">
      <c r="A135" s="25"/>
      <c r="B135" s="25"/>
      <c r="C135" s="25"/>
      <c r="D135" s="25"/>
      <c r="E135" s="25"/>
      <c r="F135" s="25"/>
    </row>
    <row r="136" spans="1:6">
      <c r="A136" s="25"/>
      <c r="B136" s="25"/>
      <c r="C136" s="25"/>
      <c r="D136" s="25"/>
      <c r="E136" s="25"/>
      <c r="F136" s="25"/>
    </row>
    <row r="137" spans="1:6">
      <c r="A137" s="25"/>
      <c r="B137" s="25"/>
      <c r="C137" s="25"/>
      <c r="D137" s="25"/>
      <c r="E137" s="25"/>
      <c r="F137" s="25"/>
    </row>
    <row r="138" spans="1:6">
      <c r="A138" s="25"/>
      <c r="B138" s="25"/>
      <c r="C138" s="25"/>
      <c r="D138" s="25"/>
      <c r="E138" s="25"/>
      <c r="F138" s="25"/>
    </row>
    <row r="139" spans="1:6">
      <c r="A139" s="25"/>
      <c r="B139" s="25"/>
      <c r="C139" s="25"/>
      <c r="D139" s="25"/>
      <c r="E139" s="25"/>
      <c r="F139" s="25"/>
    </row>
    <row r="140" spans="1:6">
      <c r="A140" s="25"/>
      <c r="B140" s="25"/>
      <c r="C140" s="25"/>
      <c r="D140" s="25"/>
      <c r="E140" s="25"/>
      <c r="F140" s="25"/>
    </row>
    <row r="141" spans="1:6">
      <c r="A141" s="25"/>
      <c r="B141" s="25"/>
      <c r="C141" s="25"/>
      <c r="D141" s="25"/>
      <c r="E141" s="25"/>
      <c r="F141" s="25"/>
    </row>
    <row r="142" spans="1:6">
      <c r="A142" s="25"/>
      <c r="B142" s="25"/>
      <c r="C142" s="25"/>
      <c r="D142" s="25"/>
      <c r="E142" s="25"/>
      <c r="F142" s="25"/>
    </row>
    <row r="143" spans="1:6">
      <c r="A143" s="25"/>
      <c r="B143" s="25"/>
      <c r="C143" s="25"/>
      <c r="D143" s="25"/>
      <c r="E143" s="25"/>
      <c r="F143" s="25"/>
    </row>
    <row r="144" spans="1:6">
      <c r="A144" s="25"/>
      <c r="B144" s="25"/>
      <c r="C144" s="25"/>
      <c r="D144" s="25"/>
      <c r="E144" s="25"/>
      <c r="F144" s="25"/>
    </row>
    <row r="145" spans="1:6">
      <c r="A145" s="25"/>
      <c r="B145" s="25"/>
      <c r="C145" s="25"/>
      <c r="D145" s="25"/>
      <c r="E145" s="25"/>
      <c r="F145" s="25"/>
    </row>
    <row r="146" spans="1:6">
      <c r="A146" s="25"/>
      <c r="B146" s="25"/>
      <c r="C146" s="25"/>
      <c r="D146" s="25"/>
      <c r="E146" s="25"/>
      <c r="F146" s="25"/>
    </row>
    <row r="147" spans="1:6">
      <c r="A147" s="25"/>
      <c r="B147" s="25"/>
      <c r="C147" s="25"/>
      <c r="D147" s="25"/>
      <c r="E147" s="25"/>
      <c r="F147" s="25"/>
    </row>
    <row r="148" spans="1:6">
      <c r="A148" s="25"/>
      <c r="B148" s="25"/>
      <c r="C148" s="25"/>
      <c r="D148" s="25"/>
      <c r="E148" s="25"/>
      <c r="F148" s="25"/>
    </row>
    <row r="149" spans="1:6">
      <c r="A149" s="25"/>
      <c r="B149" s="25"/>
      <c r="C149" s="25"/>
      <c r="D149" s="25"/>
      <c r="E149" s="25"/>
      <c r="F149" s="25"/>
    </row>
    <row r="150" spans="1:6">
      <c r="A150" s="25"/>
      <c r="B150" s="25"/>
      <c r="C150" s="25"/>
      <c r="D150" s="25"/>
      <c r="E150" s="25"/>
      <c r="F150" s="25"/>
    </row>
    <row r="151" spans="1:6">
      <c r="A151" s="25"/>
      <c r="B151" s="25"/>
      <c r="C151" s="25"/>
      <c r="D151" s="25"/>
      <c r="E151" s="25"/>
      <c r="F151" s="25"/>
    </row>
    <row r="152" spans="1:6">
      <c r="A152" s="25"/>
      <c r="B152" s="25"/>
      <c r="C152" s="25"/>
      <c r="D152" s="25"/>
      <c r="E152" s="25"/>
      <c r="F152" s="25"/>
    </row>
    <row r="153" spans="1:6">
      <c r="A153" s="25"/>
      <c r="B153" s="25"/>
      <c r="C153" s="25"/>
      <c r="D153" s="25"/>
      <c r="E153" s="25"/>
      <c r="F153" s="25"/>
    </row>
    <row r="154" spans="1:6">
      <c r="A154" s="25"/>
      <c r="B154" s="25"/>
      <c r="C154" s="25"/>
      <c r="D154" s="25"/>
      <c r="E154" s="25"/>
      <c r="F154" s="25"/>
    </row>
    <row r="155" spans="1:6">
      <c r="A155" s="25"/>
      <c r="B155" s="25"/>
      <c r="C155" s="25"/>
      <c r="D155" s="25"/>
      <c r="E155" s="25"/>
      <c r="F155" s="25"/>
    </row>
    <row r="156" spans="1:6">
      <c r="A156" s="25"/>
      <c r="B156" s="25"/>
      <c r="C156" s="25"/>
      <c r="D156" s="25"/>
      <c r="E156" s="25"/>
      <c r="F156" s="25"/>
    </row>
    <row r="157" spans="1:6">
      <c r="A157" s="25"/>
      <c r="B157" s="25"/>
      <c r="C157" s="25"/>
      <c r="D157" s="25"/>
      <c r="E157" s="25"/>
      <c r="F157" s="25"/>
    </row>
    <row r="158" spans="1:6">
      <c r="A158" s="25"/>
      <c r="B158" s="25"/>
      <c r="C158" s="25"/>
      <c r="D158" s="25"/>
      <c r="E158" s="25"/>
      <c r="F158" s="25"/>
    </row>
    <row r="159" spans="1:6">
      <c r="A159" s="25"/>
      <c r="B159" s="25"/>
      <c r="C159" s="25"/>
      <c r="D159" s="25"/>
      <c r="E159" s="25"/>
      <c r="F159" s="25"/>
    </row>
    <row r="160" spans="1:6">
      <c r="A160" s="25"/>
      <c r="B160" s="25"/>
      <c r="C160" s="25"/>
      <c r="D160" s="25"/>
      <c r="E160" s="25"/>
      <c r="F160" s="25"/>
    </row>
    <row r="161" spans="1:6">
      <c r="A161" s="25"/>
      <c r="B161" s="25"/>
      <c r="C161" s="25"/>
      <c r="D161" s="25"/>
      <c r="E161" s="25"/>
      <c r="F161" s="25"/>
    </row>
    <row r="162" spans="1:6">
      <c r="A162" s="25"/>
      <c r="B162" s="25"/>
      <c r="C162" s="25"/>
      <c r="D162" s="25"/>
      <c r="E162" s="25"/>
      <c r="F162" s="25"/>
    </row>
    <row r="163" spans="1:6">
      <c r="A163" s="25"/>
      <c r="B163" s="25"/>
      <c r="C163" s="25"/>
      <c r="D163" s="25"/>
      <c r="E163" s="25"/>
      <c r="F163" s="25"/>
    </row>
  </sheetData>
  <sheetProtection sheet="1" objects="1" scenarios="1"/>
  <mergeCells count="1">
    <mergeCell ref="B1:F1"/>
  </mergeCells>
  <printOptions horizontalCentered="1" verticalCentered="1"/>
  <pageMargins left="0.25" right="0.25" top="0.25" bottom="0.25" header="0.5" footer="0.5"/>
  <pageSetup scale="92" orientation="landscape" horizontalDpi="4294967292" verticalDpi="4294967292"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1F1CE-237A-42D6-9F57-5040C2672921}">
  <sheetPr>
    <pageSetUpPr fitToPage="1"/>
  </sheetPr>
  <dimension ref="A1:I126"/>
  <sheetViews>
    <sheetView showGridLines="0" zoomScale="115" zoomScaleNormal="115" workbookViewId="0">
      <selection activeCell="F9" sqref="F9"/>
    </sheetView>
  </sheetViews>
  <sheetFormatPr defaultRowHeight="14.45"/>
  <cols>
    <col min="1" max="1" width="46.7109375" customWidth="1"/>
    <col min="2" max="2" width="16.28515625" customWidth="1"/>
    <col min="3" max="3" width="17.5703125" customWidth="1"/>
    <col min="4" max="4" width="16.42578125" customWidth="1"/>
    <col min="5" max="7" width="16.7109375" customWidth="1"/>
    <col min="8" max="8" width="54" customWidth="1"/>
    <col min="9" max="9" width="36.7109375" customWidth="1"/>
  </cols>
  <sheetData>
    <row r="1" spans="1:8" ht="48" customHeight="1">
      <c r="A1" s="114" t="s">
        <v>155</v>
      </c>
      <c r="B1" s="73"/>
      <c r="C1" s="73"/>
      <c r="D1" s="73"/>
      <c r="E1" s="73"/>
      <c r="F1" s="73"/>
      <c r="G1" s="73"/>
      <c r="H1" s="73"/>
    </row>
    <row r="2" spans="1:8" ht="15" thickBot="1"/>
    <row r="3" spans="1:8" ht="18.600000000000001" thickTop="1">
      <c r="A3" s="14" t="s">
        <v>18</v>
      </c>
      <c r="B3" s="15"/>
      <c r="C3" s="15"/>
      <c r="D3" s="16"/>
    </row>
    <row r="4" spans="1:8" ht="9" customHeight="1">
      <c r="A4" s="105"/>
      <c r="B4" s="5"/>
      <c r="C4" s="5"/>
      <c r="D4" s="106"/>
    </row>
    <row r="5" spans="1:8" ht="15.6" customHeight="1">
      <c r="A5" s="17" t="s">
        <v>19</v>
      </c>
      <c r="B5" s="197"/>
      <c r="C5" s="197"/>
      <c r="D5" s="198"/>
    </row>
    <row r="6" spans="1:8">
      <c r="A6" s="18"/>
      <c r="B6" s="150"/>
      <c r="C6" s="150"/>
      <c r="D6" s="109"/>
    </row>
    <row r="7" spans="1:8" ht="15.6" customHeight="1">
      <c r="A7" s="18" t="s">
        <v>20</v>
      </c>
      <c r="B7" s="197"/>
      <c r="C7" s="197"/>
      <c r="D7" s="198"/>
    </row>
    <row r="8" spans="1:8">
      <c r="A8" s="18"/>
      <c r="B8" s="150"/>
      <c r="C8" s="150"/>
      <c r="D8" s="109"/>
    </row>
    <row r="9" spans="1:8" ht="31.15" customHeight="1">
      <c r="A9" s="112" t="s">
        <v>21</v>
      </c>
      <c r="B9" s="193"/>
      <c r="C9" s="193"/>
      <c r="D9" s="194"/>
    </row>
    <row r="10" spans="1:8">
      <c r="A10" s="18"/>
      <c r="B10" s="150"/>
      <c r="C10" s="150"/>
      <c r="D10" s="109"/>
    </row>
    <row r="11" spans="1:8" ht="15.6" customHeight="1">
      <c r="A11" s="19" t="s">
        <v>23</v>
      </c>
      <c r="B11" s="110"/>
      <c r="C11" s="150"/>
      <c r="D11" s="109"/>
    </row>
    <row r="12" spans="1:8">
      <c r="A12" s="20" t="s">
        <v>24</v>
      </c>
      <c r="B12" s="107"/>
      <c r="C12" s="107"/>
      <c r="D12" s="111"/>
    </row>
    <row r="13" spans="1:8">
      <c r="A13" s="20"/>
      <c r="B13" s="107"/>
      <c r="C13" s="107"/>
      <c r="D13" s="111"/>
    </row>
    <row r="14" spans="1:8" ht="16.899999999999999" customHeight="1">
      <c r="A14" s="75" t="s">
        <v>156</v>
      </c>
      <c r="B14" s="193"/>
      <c r="C14" s="193"/>
      <c r="D14" s="194"/>
    </row>
    <row r="15" spans="1:8" ht="43.15">
      <c r="A15" s="74" t="s">
        <v>157</v>
      </c>
      <c r="B15" s="193"/>
      <c r="C15" s="193"/>
      <c r="D15" s="194"/>
    </row>
    <row r="16" spans="1:8" ht="12.6" customHeight="1" thickBot="1">
      <c r="A16" s="85"/>
      <c r="B16" s="86"/>
      <c r="C16" s="86"/>
      <c r="D16" s="87"/>
    </row>
    <row r="17" spans="1:9" ht="18.600000000000001" customHeight="1" thickTop="1"/>
    <row r="18" spans="1:9" ht="31.9" customHeight="1">
      <c r="A18" s="7" t="s">
        <v>158</v>
      </c>
      <c r="B18" s="5"/>
      <c r="C18" s="5"/>
      <c r="D18" s="5"/>
      <c r="E18" s="5"/>
      <c r="F18" s="5"/>
      <c r="G18" s="5"/>
      <c r="H18" s="5"/>
    </row>
    <row r="19" spans="1:9" ht="15" thickBot="1">
      <c r="A19" t="s">
        <v>159</v>
      </c>
    </row>
    <row r="20" spans="1:9" ht="30" thickTop="1" thickBot="1">
      <c r="A20" s="4" t="s">
        <v>160</v>
      </c>
      <c r="B20" s="80" t="s">
        <v>161</v>
      </c>
      <c r="C20" s="4" t="s">
        <v>162</v>
      </c>
      <c r="D20" s="80" t="s">
        <v>163</v>
      </c>
      <c r="E20" s="4" t="s">
        <v>35</v>
      </c>
      <c r="F20" s="4" t="s">
        <v>36</v>
      </c>
      <c r="G20" s="4" t="s">
        <v>37</v>
      </c>
      <c r="H20" s="4" t="s">
        <v>38</v>
      </c>
      <c r="I20" s="4" t="s">
        <v>164</v>
      </c>
    </row>
    <row r="21" spans="1:9" ht="15" thickTop="1">
      <c r="A21" s="8" t="s">
        <v>165</v>
      </c>
      <c r="B21" s="171">
        <v>1</v>
      </c>
      <c r="C21" s="172">
        <v>0.5</v>
      </c>
      <c r="D21" s="9">
        <v>60000</v>
      </c>
      <c r="E21" s="9">
        <v>30000</v>
      </c>
      <c r="F21" s="10">
        <v>15000</v>
      </c>
      <c r="G21" s="10">
        <v>15000</v>
      </c>
      <c r="H21" s="6">
        <v>0</v>
      </c>
      <c r="I21" s="11" t="s">
        <v>166</v>
      </c>
    </row>
    <row r="22" spans="1:9">
      <c r="B22" s="137"/>
      <c r="C22" s="172"/>
      <c r="D22" s="173"/>
      <c r="E22" s="2">
        <f>ROUND(Personnel[[#This Row],[Column2]]*Personnel[[#This Row],[Column3]]*Personnel[[#This Row],[Column4]], 2)</f>
        <v>0</v>
      </c>
      <c r="F22" s="1"/>
      <c r="G22" s="1"/>
      <c r="H22" s="1"/>
      <c r="I22" s="137"/>
    </row>
    <row r="23" spans="1:9">
      <c r="B23" s="137"/>
      <c r="C23" s="172"/>
      <c r="D23" s="173"/>
      <c r="E23" s="2">
        <f>ROUND(Personnel[[#This Row],[Column2]]*Personnel[[#This Row],[Column3]]*Personnel[[#This Row],[Column4]], 2)</f>
        <v>0</v>
      </c>
      <c r="F23" s="1"/>
      <c r="G23" s="1"/>
      <c r="H23" s="1"/>
      <c r="I23" s="137"/>
    </row>
    <row r="24" spans="1:9">
      <c r="B24" s="137"/>
      <c r="C24" s="174"/>
      <c r="D24" s="173"/>
      <c r="E24" s="2">
        <f>ROUND(Personnel[[#This Row],[Column2]]*Personnel[[#This Row],[Column3]]*Personnel[[#This Row],[Column4]], 2)</f>
        <v>0</v>
      </c>
      <c r="F24" s="1"/>
      <c r="G24" s="1"/>
      <c r="H24" s="1"/>
      <c r="I24" s="137"/>
    </row>
    <row r="25" spans="1:9">
      <c r="B25" s="137"/>
      <c r="C25" s="174"/>
      <c r="D25" s="173"/>
      <c r="E25" s="2">
        <f>ROUND(Personnel[[#This Row],[Column2]]*Personnel[[#This Row],[Column3]]*Personnel[[#This Row],[Column4]], 2)</f>
        <v>0</v>
      </c>
      <c r="F25" s="1"/>
      <c r="G25" s="1"/>
      <c r="H25" s="1"/>
      <c r="I25" s="137"/>
    </row>
    <row r="27" spans="1:9" ht="31.9" customHeight="1">
      <c r="A27" s="7" t="s">
        <v>167</v>
      </c>
      <c r="B27" s="5"/>
      <c r="C27" s="5"/>
      <c r="D27" s="5"/>
      <c r="E27" s="5"/>
      <c r="F27" s="5"/>
      <c r="G27" s="5"/>
      <c r="H27" s="5"/>
      <c r="I27" s="5"/>
    </row>
    <row r="28" spans="1:9" ht="15" thickBot="1">
      <c r="A28" t="s">
        <v>168</v>
      </c>
    </row>
    <row r="29" spans="1:9" ht="19.149999999999999" thickTop="1" thickBot="1">
      <c r="A29" s="4" t="s">
        <v>160</v>
      </c>
      <c r="B29" s="4" t="s">
        <v>169</v>
      </c>
      <c r="C29" s="4" t="s">
        <v>98</v>
      </c>
      <c r="D29" s="4" t="s">
        <v>35</v>
      </c>
      <c r="E29" s="4" t="s">
        <v>36</v>
      </c>
      <c r="F29" s="4" t="s">
        <v>37</v>
      </c>
      <c r="G29" s="4" t="s">
        <v>38</v>
      </c>
      <c r="H29" s="4" t="s">
        <v>40</v>
      </c>
      <c r="I29" s="5"/>
    </row>
    <row r="30" spans="1:9" ht="15" thickTop="1">
      <c r="A30" s="8" t="s">
        <v>165</v>
      </c>
      <c r="B30" s="78">
        <v>30000</v>
      </c>
      <c r="C30" s="79">
        <v>0.2</v>
      </c>
      <c r="D30" s="9">
        <v>6000</v>
      </c>
      <c r="E30" s="10">
        <v>3000</v>
      </c>
      <c r="F30" s="10">
        <v>3000</v>
      </c>
      <c r="G30" s="6">
        <v>0</v>
      </c>
      <c r="H30" s="11"/>
      <c r="I30" s="11"/>
    </row>
    <row r="31" spans="1:9">
      <c r="B31" s="77"/>
      <c r="C31" s="76"/>
      <c r="D31" s="2">
        <f>ROUND(Fringe[[#This Row],[Column2]]*Fringe[[#This Row],[Column3]],2)</f>
        <v>0</v>
      </c>
      <c r="E31" s="1"/>
      <c r="F31" s="1"/>
      <c r="G31" s="1"/>
      <c r="I31" s="1"/>
    </row>
    <row r="32" spans="1:9">
      <c r="B32" s="77"/>
      <c r="C32" s="76"/>
      <c r="D32" s="2">
        <f>ROUND(Fringe[[#This Row],[Column2]]*Fringe[[#This Row],[Column3]],2)</f>
        <v>0</v>
      </c>
      <c r="E32" s="1"/>
      <c r="F32" s="1"/>
      <c r="G32" s="1"/>
      <c r="I32" s="1"/>
    </row>
    <row r="33" spans="1:9">
      <c r="B33" s="77"/>
      <c r="C33" s="76"/>
      <c r="D33" s="2">
        <f>ROUND(Fringe[[#This Row],[Column2]]*Fringe[[#This Row],[Column3]],2)</f>
        <v>0</v>
      </c>
      <c r="E33" s="1"/>
      <c r="F33" s="1"/>
      <c r="G33" s="1"/>
      <c r="I33" s="1"/>
    </row>
    <row r="34" spans="1:9">
      <c r="B34" s="77"/>
      <c r="C34" s="76"/>
      <c r="D34" s="2">
        <f>ROUND(Fringe[[#This Row],[Column2]]*Fringe[[#This Row],[Column3]],2)</f>
        <v>0</v>
      </c>
      <c r="E34" s="1"/>
      <c r="F34" s="1"/>
      <c r="G34" s="1"/>
      <c r="I34" s="1"/>
    </row>
    <row r="36" spans="1:9" ht="31.9" customHeight="1">
      <c r="A36" s="7" t="s">
        <v>170</v>
      </c>
      <c r="B36" s="5"/>
      <c r="C36" s="5"/>
      <c r="D36" s="5"/>
      <c r="E36" s="5"/>
      <c r="F36" s="5"/>
      <c r="G36" s="5"/>
      <c r="H36" s="5"/>
    </row>
    <row r="37" spans="1:9" ht="15" thickBot="1">
      <c r="A37" t="s">
        <v>171</v>
      </c>
    </row>
    <row r="38" spans="1:9" ht="31.9" customHeight="1" thickTop="1" thickBot="1">
      <c r="A38" s="4" t="s">
        <v>172</v>
      </c>
      <c r="B38" s="80" t="s">
        <v>173</v>
      </c>
      <c r="C38" s="80" t="s">
        <v>32</v>
      </c>
      <c r="D38" s="80" t="s">
        <v>33</v>
      </c>
      <c r="E38" s="80" t="s">
        <v>34</v>
      </c>
      <c r="F38" s="80" t="s">
        <v>174</v>
      </c>
      <c r="G38" s="80" t="s">
        <v>35</v>
      </c>
      <c r="H38" s="4" t="s">
        <v>36</v>
      </c>
      <c r="I38" s="4" t="s">
        <v>37</v>
      </c>
    </row>
    <row r="39" spans="1:9" ht="14.65" customHeight="1" thickTop="1">
      <c r="A39" s="205" t="s">
        <v>175</v>
      </c>
      <c r="B39" s="143" t="s">
        <v>176</v>
      </c>
      <c r="C39" s="143">
        <v>2</v>
      </c>
      <c r="D39" s="144" t="s">
        <v>177</v>
      </c>
      <c r="E39" s="145">
        <v>120</v>
      </c>
      <c r="F39" s="143">
        <v>2</v>
      </c>
      <c r="G39" s="145">
        <f>C39*E39*F39</f>
        <v>480</v>
      </c>
      <c r="H39" s="145">
        <v>240</v>
      </c>
      <c r="I39" s="145">
        <v>240</v>
      </c>
    </row>
    <row r="40" spans="1:9" ht="15.6" customHeight="1">
      <c r="A40" s="205"/>
      <c r="B40" s="140" t="s">
        <v>178</v>
      </c>
      <c r="C40" s="140">
        <v>3</v>
      </c>
      <c r="D40" s="141" t="s">
        <v>179</v>
      </c>
      <c r="E40" s="142">
        <v>59</v>
      </c>
      <c r="F40" s="140">
        <v>2</v>
      </c>
      <c r="G40" s="142">
        <f t="shared" ref="G40:G41" si="0">C40*E40*F40</f>
        <v>354</v>
      </c>
      <c r="H40" s="142">
        <v>177</v>
      </c>
      <c r="I40" s="142">
        <v>177</v>
      </c>
    </row>
    <row r="41" spans="1:9">
      <c r="A41" s="205"/>
      <c r="B41" s="140" t="s">
        <v>180</v>
      </c>
      <c r="C41" s="140">
        <v>3</v>
      </c>
      <c r="D41" s="141" t="s">
        <v>179</v>
      </c>
      <c r="E41" s="142">
        <v>70</v>
      </c>
      <c r="F41" s="140">
        <v>1</v>
      </c>
      <c r="G41" s="142">
        <f t="shared" si="0"/>
        <v>210</v>
      </c>
      <c r="H41" s="142">
        <v>105</v>
      </c>
      <c r="I41" s="142">
        <v>105</v>
      </c>
    </row>
    <row r="42" spans="1:9">
      <c r="A42" s="107"/>
      <c r="B42" s="138"/>
      <c r="C42" s="136"/>
      <c r="D42" s="139"/>
      <c r="E42" s="137"/>
      <c r="F42" s="1"/>
      <c r="G42" s="2">
        <f>Travel[[#This Row],[Column3]]*Travel[[#This Row],[Column5]]*Travel[[#This Row],[Column6]]</f>
        <v>0</v>
      </c>
      <c r="H42" s="104"/>
      <c r="I42" s="1"/>
    </row>
    <row r="43" spans="1:9">
      <c r="A43" s="107"/>
      <c r="B43" s="138"/>
      <c r="C43" s="136"/>
      <c r="D43" s="139"/>
      <c r="E43" s="137"/>
      <c r="F43" s="1"/>
      <c r="G43" s="2">
        <f>Travel[[#This Row],[Column3]]*Travel[[#This Row],[Column5]]*Travel[[#This Row],[Column6]]</f>
        <v>0</v>
      </c>
      <c r="H43" s="104"/>
      <c r="I43" s="1"/>
    </row>
    <row r="44" spans="1:9">
      <c r="A44" s="107"/>
      <c r="B44" s="138"/>
      <c r="C44" s="136"/>
      <c r="D44" s="139"/>
      <c r="E44" s="137"/>
      <c r="F44" s="1"/>
      <c r="G44" s="2">
        <f>Travel[[#This Row],[Column3]]*Travel[[#This Row],[Column5]]*Travel[[#This Row],[Column6]]</f>
        <v>0</v>
      </c>
      <c r="H44" s="104"/>
      <c r="I44" s="1"/>
    </row>
    <row r="45" spans="1:9">
      <c r="A45" s="107"/>
      <c r="B45" s="138"/>
      <c r="C45" s="136"/>
      <c r="D45" s="139"/>
      <c r="E45" s="137"/>
      <c r="F45" s="1"/>
      <c r="G45" s="2">
        <f>Travel[[#This Row],[Column3]]*Travel[[#This Row],[Column5]]*Travel[[#This Row],[Column6]]</f>
        <v>0</v>
      </c>
      <c r="H45" s="104"/>
      <c r="I45" s="1"/>
    </row>
    <row r="47" spans="1:9" ht="31.9" customHeight="1">
      <c r="A47" s="7" t="s">
        <v>80</v>
      </c>
      <c r="B47" s="5"/>
      <c r="C47" s="5"/>
      <c r="D47" s="5"/>
      <c r="E47" s="5"/>
      <c r="F47" s="5"/>
      <c r="G47" s="5"/>
      <c r="H47" s="5"/>
      <c r="I47" s="5"/>
    </row>
    <row r="48" spans="1:9">
      <c r="A48" t="s">
        <v>181</v>
      </c>
    </row>
    <row r="49" spans="1:9" ht="15" thickBot="1">
      <c r="A49" t="s">
        <v>182</v>
      </c>
    </row>
    <row r="50" spans="1:9" ht="15.6" thickTop="1" thickBot="1">
      <c r="A50" s="4" t="s">
        <v>183</v>
      </c>
      <c r="B50" s="4" t="s">
        <v>32</v>
      </c>
      <c r="C50" s="4" t="s">
        <v>34</v>
      </c>
      <c r="D50" s="4" t="s">
        <v>35</v>
      </c>
      <c r="E50" s="4" t="s">
        <v>36</v>
      </c>
      <c r="F50" s="4" t="s">
        <v>37</v>
      </c>
      <c r="G50" s="4" t="s">
        <v>38</v>
      </c>
      <c r="H50" s="4" t="s">
        <v>184</v>
      </c>
      <c r="I50" s="4" t="s">
        <v>185</v>
      </c>
    </row>
    <row r="51" spans="1:9" ht="15" thickTop="1">
      <c r="A51" s="12" t="s">
        <v>186</v>
      </c>
      <c r="B51" s="8">
        <v>1</v>
      </c>
      <c r="C51" s="9">
        <v>10636</v>
      </c>
      <c r="D51" s="9">
        <v>10636</v>
      </c>
      <c r="E51" s="10">
        <v>5318</v>
      </c>
      <c r="F51" s="10">
        <v>5318</v>
      </c>
      <c r="G51" s="6">
        <v>0</v>
      </c>
      <c r="H51" s="11" t="s">
        <v>187</v>
      </c>
      <c r="I51" s="11" t="s">
        <v>188</v>
      </c>
    </row>
    <row r="52" spans="1:9">
      <c r="C52" s="1"/>
      <c r="D52" s="2">
        <f>EquipmentPA[[#This Row],[Column2]]*EquipmentPA[[#This Row],[Column3]]</f>
        <v>0</v>
      </c>
      <c r="E52" s="1"/>
      <c r="F52" s="1"/>
      <c r="G52" s="1"/>
      <c r="I52" s="1"/>
    </row>
    <row r="53" spans="1:9">
      <c r="C53" s="1"/>
      <c r="D53" s="2">
        <f>EquipmentPA[[#This Row],[Column2]]*EquipmentPA[[#This Row],[Column3]]</f>
        <v>0</v>
      </c>
      <c r="E53" s="1"/>
      <c r="F53" s="1"/>
      <c r="G53" s="1"/>
      <c r="I53" s="1"/>
    </row>
    <row r="54" spans="1:9">
      <c r="C54" s="1"/>
      <c r="D54" s="2">
        <f>EquipmentPA[[#This Row],[Column2]]*EquipmentPA[[#This Row],[Column3]]</f>
        <v>0</v>
      </c>
      <c r="E54" s="1"/>
      <c r="F54" s="1"/>
      <c r="G54" s="1"/>
      <c r="I54" s="1"/>
    </row>
    <row r="55" spans="1:9">
      <c r="C55" s="1"/>
      <c r="D55" s="2">
        <f>EquipmentPA[[#This Row],[Column2]]*EquipmentPA[[#This Row],[Column3]]</f>
        <v>0</v>
      </c>
      <c r="E55" s="1"/>
      <c r="F55" s="1"/>
      <c r="G55" s="1"/>
      <c r="I55" s="1"/>
    </row>
    <row r="57" spans="1:9" ht="31.9" customHeight="1">
      <c r="A57" s="7" t="s">
        <v>189</v>
      </c>
      <c r="B57" s="5"/>
      <c r="C57" s="5"/>
      <c r="D57" s="5"/>
      <c r="E57" s="5"/>
      <c r="F57" s="5"/>
      <c r="G57" s="5"/>
      <c r="H57" s="5"/>
      <c r="I57" s="5"/>
    </row>
    <row r="58" spans="1:9">
      <c r="A58" t="s">
        <v>190</v>
      </c>
    </row>
    <row r="59" spans="1:9" ht="15" thickBot="1">
      <c r="A59" t="s">
        <v>191</v>
      </c>
    </row>
    <row r="60" spans="1:9" ht="15.6" thickTop="1" thickBot="1">
      <c r="A60" s="4" t="s">
        <v>192</v>
      </c>
      <c r="B60" s="4" t="s">
        <v>32</v>
      </c>
      <c r="C60" s="4" t="s">
        <v>34</v>
      </c>
      <c r="D60" s="4" t="s">
        <v>35</v>
      </c>
      <c r="E60" s="4" t="s">
        <v>36</v>
      </c>
      <c r="F60" s="4" t="s">
        <v>37</v>
      </c>
      <c r="G60" s="4" t="s">
        <v>38</v>
      </c>
      <c r="H60" s="4" t="s">
        <v>184</v>
      </c>
      <c r="I60" s="4" t="s">
        <v>185</v>
      </c>
    </row>
    <row r="61" spans="1:9" ht="15" thickTop="1">
      <c r="A61" s="12" t="s">
        <v>193</v>
      </c>
      <c r="B61" s="8">
        <v>100</v>
      </c>
      <c r="C61" s="9">
        <v>9</v>
      </c>
      <c r="D61" s="9">
        <v>900</v>
      </c>
      <c r="E61" s="10">
        <v>450</v>
      </c>
      <c r="F61" s="10">
        <v>450</v>
      </c>
      <c r="G61" s="6">
        <v>0</v>
      </c>
      <c r="H61" s="11" t="s">
        <v>194</v>
      </c>
      <c r="I61" s="11" t="s">
        <v>188</v>
      </c>
    </row>
    <row r="62" spans="1:9">
      <c r="C62" s="1"/>
      <c r="D62" s="2">
        <f>Supplies[[#This Row],[Column2]]*Supplies[[#This Row],[Column3]]</f>
        <v>0</v>
      </c>
      <c r="E62" s="1"/>
      <c r="F62" s="1"/>
      <c r="G62" s="1"/>
      <c r="I62" s="1"/>
    </row>
    <row r="63" spans="1:9">
      <c r="C63" s="1"/>
      <c r="D63" s="2">
        <f>Supplies[[#This Row],[Column2]]*Supplies[[#This Row],[Column3]]</f>
        <v>0</v>
      </c>
      <c r="E63" s="1"/>
      <c r="F63" s="1"/>
      <c r="G63" s="1"/>
      <c r="I63" s="1"/>
    </row>
    <row r="64" spans="1:9">
      <c r="C64" s="1"/>
      <c r="D64" s="2">
        <f>Supplies[[#This Row],[Column2]]*Supplies[[#This Row],[Column3]]</f>
        <v>0</v>
      </c>
      <c r="E64" s="1"/>
      <c r="F64" s="1"/>
      <c r="G64" s="1"/>
      <c r="I64" s="1"/>
    </row>
    <row r="65" spans="1:9">
      <c r="C65" s="1"/>
      <c r="D65" s="2">
        <f>Supplies[[#This Row],[Column2]]*Supplies[[#This Row],[Column3]]</f>
        <v>0</v>
      </c>
      <c r="E65" s="1"/>
      <c r="F65" s="1"/>
      <c r="G65" s="1"/>
      <c r="I65" s="1"/>
    </row>
    <row r="67" spans="1:9" ht="31.9" customHeight="1">
      <c r="A67" s="7" t="s">
        <v>195</v>
      </c>
      <c r="B67" s="5"/>
      <c r="C67" s="5"/>
      <c r="D67" s="5"/>
      <c r="E67" s="5"/>
      <c r="F67" s="5"/>
      <c r="G67" s="5"/>
      <c r="H67" s="5"/>
      <c r="I67" s="5"/>
    </row>
    <row r="68" spans="1:9">
      <c r="A68" t="s">
        <v>196</v>
      </c>
    </row>
    <row r="69" spans="1:9" ht="15" thickBot="1">
      <c r="A69" t="s">
        <v>197</v>
      </c>
    </row>
    <row r="70" spans="1:9" ht="15.6" thickTop="1" thickBot="1">
      <c r="A70" s="82" t="s">
        <v>198</v>
      </c>
      <c r="B70" s="83"/>
      <c r="C70" s="84"/>
      <c r="D70" s="4" t="s">
        <v>105</v>
      </c>
      <c r="E70" s="4" t="s">
        <v>36</v>
      </c>
      <c r="F70" s="4" t="s">
        <v>37</v>
      </c>
      <c r="G70" s="4" t="s">
        <v>38</v>
      </c>
      <c r="H70" s="4" t="s">
        <v>184</v>
      </c>
      <c r="I70" s="4" t="s">
        <v>185</v>
      </c>
    </row>
    <row r="71" spans="1:9" ht="15" thickTop="1">
      <c r="A71" s="12" t="s">
        <v>199</v>
      </c>
      <c r="D71" s="9">
        <v>18000</v>
      </c>
      <c r="E71" s="9">
        <v>9000</v>
      </c>
      <c r="F71" s="9">
        <v>9000</v>
      </c>
      <c r="G71" s="10">
        <v>0</v>
      </c>
      <c r="H71" s="11" t="s">
        <v>200</v>
      </c>
      <c r="I71" s="11" t="s">
        <v>201</v>
      </c>
    </row>
    <row r="72" spans="1:9">
      <c r="B72" s="81"/>
      <c r="C72" s="81"/>
      <c r="D72" s="1"/>
      <c r="E72" s="1"/>
      <c r="F72" s="1"/>
      <c r="G72" s="1"/>
      <c r="I72" s="1"/>
    </row>
    <row r="73" spans="1:9">
      <c r="B73" s="81"/>
      <c r="C73" s="81"/>
      <c r="D73" s="1"/>
      <c r="E73" s="1"/>
      <c r="F73" s="1"/>
      <c r="G73" s="1"/>
      <c r="I73" s="1"/>
    </row>
    <row r="74" spans="1:9">
      <c r="B74" s="81"/>
      <c r="C74" s="81"/>
      <c r="D74" s="1"/>
      <c r="E74" s="1"/>
      <c r="F74" s="1"/>
      <c r="G74" s="1"/>
      <c r="I74" s="1"/>
    </row>
    <row r="75" spans="1:9">
      <c r="B75" s="81"/>
      <c r="C75" s="81"/>
      <c r="D75" s="1"/>
      <c r="E75" s="1"/>
      <c r="F75" s="1"/>
      <c r="G75" s="1"/>
      <c r="I75" s="1"/>
    </row>
    <row r="77" spans="1:9" ht="31.9" customHeight="1">
      <c r="A77" s="7" t="s">
        <v>202</v>
      </c>
      <c r="B77" s="5"/>
      <c r="C77" s="5"/>
      <c r="D77" s="5"/>
      <c r="E77" s="5"/>
      <c r="F77" s="5"/>
      <c r="G77" s="5"/>
      <c r="H77" s="5"/>
      <c r="I77" s="5"/>
    </row>
    <row r="78" spans="1:9">
      <c r="A78" t="s">
        <v>203</v>
      </c>
    </row>
    <row r="79" spans="1:9" ht="15" thickBot="1">
      <c r="A79" t="s">
        <v>204</v>
      </c>
    </row>
    <row r="80" spans="1:9" ht="15.6" thickTop="1" thickBot="1">
      <c r="A80" s="82" t="s">
        <v>205</v>
      </c>
      <c r="B80" s="83"/>
      <c r="C80" s="84"/>
      <c r="D80" s="4" t="s">
        <v>105</v>
      </c>
      <c r="E80" s="4" t="s">
        <v>36</v>
      </c>
      <c r="F80" s="4" t="s">
        <v>37</v>
      </c>
      <c r="G80" s="4" t="s">
        <v>38</v>
      </c>
      <c r="H80" s="4" t="s">
        <v>184</v>
      </c>
      <c r="I80" s="4" t="s">
        <v>185</v>
      </c>
    </row>
    <row r="81" spans="1:9" ht="15" thickTop="1">
      <c r="A81" s="12" t="s">
        <v>206</v>
      </c>
      <c r="D81" s="9">
        <v>22000</v>
      </c>
      <c r="E81" s="9">
        <v>11000</v>
      </c>
      <c r="F81" s="9">
        <v>11000</v>
      </c>
      <c r="G81" s="10">
        <v>0</v>
      </c>
      <c r="H81" s="11" t="s">
        <v>207</v>
      </c>
      <c r="I81" s="11" t="s">
        <v>208</v>
      </c>
    </row>
    <row r="82" spans="1:9">
      <c r="B82" s="81"/>
      <c r="C82" s="81"/>
      <c r="D82" s="1"/>
      <c r="E82" s="1"/>
      <c r="F82" s="1"/>
      <c r="G82" s="1"/>
      <c r="I82" s="1"/>
    </row>
    <row r="83" spans="1:9">
      <c r="B83" s="81"/>
      <c r="C83" s="81"/>
      <c r="D83" s="1"/>
      <c r="E83" s="1"/>
      <c r="F83" s="1"/>
      <c r="G83" s="1"/>
      <c r="I83" s="1"/>
    </row>
    <row r="84" spans="1:9">
      <c r="B84" s="81"/>
      <c r="C84" s="81"/>
      <c r="D84" s="1"/>
      <c r="E84" s="1"/>
      <c r="F84" s="1"/>
      <c r="G84" s="1"/>
      <c r="I84" s="1"/>
    </row>
    <row r="85" spans="1:9">
      <c r="B85" s="81"/>
      <c r="C85" s="81"/>
      <c r="D85" s="1"/>
      <c r="E85" s="1"/>
      <c r="F85" s="1"/>
      <c r="G85" s="1"/>
      <c r="I85" s="1"/>
    </row>
    <row r="87" spans="1:9" ht="31.9" customHeight="1">
      <c r="A87" s="7" t="s">
        <v>75</v>
      </c>
      <c r="B87" s="5"/>
      <c r="C87" s="5"/>
      <c r="D87" s="5"/>
      <c r="E87" s="5"/>
      <c r="F87" s="5"/>
      <c r="G87" s="5"/>
      <c r="H87" s="5"/>
      <c r="I87" s="5"/>
    </row>
    <row r="88" spans="1:9" ht="15" thickBot="1">
      <c r="A88" t="s">
        <v>209</v>
      </c>
    </row>
    <row r="89" spans="1:9" ht="15.6" thickTop="1" thickBot="1">
      <c r="A89" s="4" t="s">
        <v>31</v>
      </c>
      <c r="B89" s="4" t="s">
        <v>32</v>
      </c>
      <c r="C89" s="4" t="s">
        <v>34</v>
      </c>
      <c r="D89" s="4" t="s">
        <v>35</v>
      </c>
      <c r="E89" s="4" t="s">
        <v>36</v>
      </c>
      <c r="F89" s="4" t="s">
        <v>37</v>
      </c>
      <c r="G89" s="4" t="s">
        <v>38</v>
      </c>
      <c r="H89" s="4" t="s">
        <v>185</v>
      </c>
    </row>
    <row r="90" spans="1:9" ht="15" thickTop="1">
      <c r="C90" s="1"/>
      <c r="D90" s="2">
        <f>ConstructionPA[[#This Row],[Column2]]*ConstructionPA[[#This Row],[Column3]]</f>
        <v>0</v>
      </c>
      <c r="E90" s="1"/>
      <c r="F90" s="1"/>
      <c r="G90" s="1"/>
      <c r="I90" s="1"/>
    </row>
    <row r="91" spans="1:9">
      <c r="C91" s="1"/>
      <c r="D91" s="2">
        <f>ConstructionPA[[#This Row],[Column2]]*ConstructionPA[[#This Row],[Column3]]</f>
        <v>0</v>
      </c>
      <c r="E91" s="1"/>
      <c r="F91" s="1"/>
      <c r="G91" s="1"/>
      <c r="I91" s="1"/>
    </row>
    <row r="93" spans="1:9" ht="31.9" customHeight="1">
      <c r="A93" s="7" t="s">
        <v>210</v>
      </c>
      <c r="B93" s="5"/>
      <c r="C93" s="5"/>
      <c r="D93" s="5"/>
      <c r="E93" s="5"/>
      <c r="F93" s="5"/>
      <c r="G93" s="5"/>
      <c r="H93" s="5"/>
      <c r="I93" s="5"/>
    </row>
    <row r="94" spans="1:9" ht="15.6" customHeight="1" thickBot="1">
      <c r="A94" t="s">
        <v>86</v>
      </c>
      <c r="B94" s="5"/>
      <c r="C94" s="5"/>
      <c r="D94" s="5"/>
      <c r="E94" s="5"/>
      <c r="F94" s="5"/>
      <c r="G94" s="5"/>
      <c r="H94" s="5"/>
      <c r="I94" s="5"/>
    </row>
    <row r="95" spans="1:9" ht="15.6" thickTop="1" thickBot="1">
      <c r="A95" s="4" t="s">
        <v>31</v>
      </c>
      <c r="B95" s="4" t="s">
        <v>32</v>
      </c>
      <c r="C95" s="4" t="s">
        <v>34</v>
      </c>
      <c r="D95" s="4" t="s">
        <v>35</v>
      </c>
      <c r="E95" s="4" t="s">
        <v>36</v>
      </c>
      <c r="F95" s="4" t="s">
        <v>37</v>
      </c>
      <c r="G95" s="4" t="s">
        <v>38</v>
      </c>
      <c r="H95" s="4" t="s">
        <v>185</v>
      </c>
      <c r="I95" s="1"/>
    </row>
    <row r="96" spans="1:9" ht="15" thickTop="1">
      <c r="C96" s="1"/>
      <c r="D96" s="2">
        <f>Other[[#This Row],[Column2]]*Other[[#This Row],[Column3]]</f>
        <v>0</v>
      </c>
      <c r="E96" s="1"/>
      <c r="F96" s="1"/>
      <c r="G96" s="1"/>
      <c r="I96" s="1"/>
    </row>
    <row r="97" spans="1:9">
      <c r="C97" s="1"/>
      <c r="D97" s="2">
        <f>Other[[#This Row],[Column2]]*Other[[#This Row],[Column3]]</f>
        <v>0</v>
      </c>
      <c r="E97" s="1"/>
      <c r="F97" s="1"/>
      <c r="G97" s="1"/>
      <c r="I97" s="1"/>
    </row>
    <row r="98" spans="1:9">
      <c r="C98" s="1"/>
      <c r="D98" s="2">
        <f>Other[[#This Row],[Column2]]*Other[[#This Row],[Column3]]</f>
        <v>0</v>
      </c>
      <c r="E98" s="1"/>
      <c r="F98" s="1"/>
      <c r="G98" s="1"/>
      <c r="I98" s="1"/>
    </row>
    <row r="99" spans="1:9">
      <c r="C99" s="1"/>
      <c r="D99" s="2">
        <f>Other[[#This Row],[Column2]]*Other[[#This Row],[Column3]]</f>
        <v>0</v>
      </c>
      <c r="E99" s="1"/>
      <c r="F99" s="1"/>
      <c r="G99" s="1"/>
      <c r="I99" s="1"/>
    </row>
    <row r="101" spans="1:9" ht="31.9" customHeight="1">
      <c r="A101" s="7" t="s">
        <v>93</v>
      </c>
    </row>
    <row r="102" spans="1:9" ht="15" thickBot="1">
      <c r="A102" t="s">
        <v>94</v>
      </c>
    </row>
    <row r="103" spans="1:9" ht="15.6" thickTop="1" thickBot="1">
      <c r="A103" s="4" t="s">
        <v>95</v>
      </c>
      <c r="B103" s="4" t="s">
        <v>96</v>
      </c>
      <c r="C103" s="4" t="s">
        <v>97</v>
      </c>
      <c r="D103" s="4" t="s">
        <v>98</v>
      </c>
      <c r="E103" s="4" t="s">
        <v>35</v>
      </c>
      <c r="F103" s="4" t="s">
        <v>36</v>
      </c>
      <c r="G103" s="4" t="s">
        <v>37</v>
      </c>
      <c r="H103" s="4" t="s">
        <v>99</v>
      </c>
    </row>
    <row r="104" spans="1:9" ht="15" thickTop="1">
      <c r="A104" s="12" t="s">
        <v>100</v>
      </c>
      <c r="B104" s="9">
        <v>110000</v>
      </c>
      <c r="C104" s="9" t="s">
        <v>101</v>
      </c>
      <c r="D104" s="13">
        <v>9.4500000000000001E-2</v>
      </c>
      <c r="E104" s="10">
        <v>10395</v>
      </c>
      <c r="F104" s="10">
        <f>E104/2</f>
        <v>5197.5</v>
      </c>
      <c r="G104" s="10">
        <v>5197.5</v>
      </c>
      <c r="H104" s="11" t="s">
        <v>102</v>
      </c>
    </row>
    <row r="105" spans="1:9">
      <c r="C105" s="1"/>
      <c r="D105" s="108"/>
      <c r="E105" s="2">
        <f>ROUNDUP(IndirectPA[[#This Row],[Column4]]*IndirectPA[[#This Row],[Column3]], 2)</f>
        <v>0</v>
      </c>
      <c r="F105" s="1"/>
      <c r="G105" s="1"/>
    </row>
    <row r="106" spans="1:9">
      <c r="C106" s="1"/>
      <c r="D106" s="108"/>
      <c r="E106" s="2">
        <f>ROUNDUP(IndirectPA[[#This Row],[Column4]]*IndirectPA[[#This Row],[Column3]], 2)</f>
        <v>0</v>
      </c>
      <c r="F106" s="1"/>
      <c r="G106" s="1"/>
    </row>
    <row r="109" spans="1:9" ht="18.600000000000001" thickBot="1">
      <c r="A109" s="7" t="s">
        <v>103</v>
      </c>
    </row>
    <row r="110" spans="1:9" ht="15.6" thickTop="1" thickBot="1">
      <c r="A110" s="4" t="s">
        <v>104</v>
      </c>
      <c r="B110" s="4" t="s">
        <v>105</v>
      </c>
      <c r="C110" s="4" t="s">
        <v>36</v>
      </c>
      <c r="D110" s="4" t="s">
        <v>37</v>
      </c>
    </row>
    <row r="111" spans="1:9" ht="15" thickTop="1">
      <c r="A111" s="70" t="s">
        <v>158</v>
      </c>
      <c r="B111" s="71">
        <f>SUM(Personnel[Column5])</f>
        <v>0</v>
      </c>
      <c r="C111" s="71">
        <f>SUM(Personnel[Column6])</f>
        <v>0</v>
      </c>
      <c r="D111" s="72">
        <f>SUM(Personnel[Column7])</f>
        <v>0</v>
      </c>
      <c r="E111" t="str">
        <f>IF(SUM(C111:D111) &lt;&gt;B111, "⚠️ Warning: Federal Share and Non-Federal Share do not add up to Total Cost. Please check your entries in this section.", "")</f>
        <v/>
      </c>
    </row>
    <row r="112" spans="1:9">
      <c r="A112" s="64" t="s">
        <v>167</v>
      </c>
      <c r="B112" s="63">
        <f>SUM(Fringe[Column4])</f>
        <v>0</v>
      </c>
      <c r="C112" s="63">
        <f>SUM(Fringe[Column5])</f>
        <v>0</v>
      </c>
      <c r="D112" s="63">
        <f>SUM(Fringe[Column6])</f>
        <v>0</v>
      </c>
      <c r="E112" t="str">
        <f t="shared" ref="E112:E120" si="1">IF(SUM(C112:D112) &lt;&gt;B112, "⚠️ Warning: Federal Share and Non-Federal Share do not add up to Total Cost. Please check your entries in this section.", "")</f>
        <v/>
      </c>
    </row>
    <row r="113" spans="1:5">
      <c r="A113" s="64" t="s">
        <v>170</v>
      </c>
      <c r="B113" s="63">
        <f>SUM(Travel[Column7])</f>
        <v>0</v>
      </c>
      <c r="C113" s="63">
        <f>SUM(Travel[Column8])</f>
        <v>0</v>
      </c>
      <c r="D113" s="63">
        <f>SUM(Travel[Column9])</f>
        <v>0</v>
      </c>
      <c r="E113" t="str">
        <f t="shared" si="1"/>
        <v/>
      </c>
    </row>
    <row r="114" spans="1:5">
      <c r="A114" s="64" t="s">
        <v>80</v>
      </c>
      <c r="B114" s="63">
        <f>SUM(EquipmentPA[Column4])</f>
        <v>0</v>
      </c>
      <c r="C114" s="63">
        <f>SUM(EquipmentPA[Column5])</f>
        <v>0</v>
      </c>
      <c r="D114" s="63">
        <f>SUM(EquipmentPA[Column6])</f>
        <v>0</v>
      </c>
      <c r="E114" t="str">
        <f t="shared" si="1"/>
        <v/>
      </c>
    </row>
    <row r="115" spans="1:5">
      <c r="A115" s="64" t="s">
        <v>189</v>
      </c>
      <c r="B115" s="63">
        <f>SUM(Supplies[Column4])</f>
        <v>0</v>
      </c>
      <c r="C115" s="63">
        <f>SUM(Supplies[Column5])</f>
        <v>0</v>
      </c>
      <c r="D115" s="63">
        <f>SUM(Supplies[Column6])</f>
        <v>0</v>
      </c>
      <c r="E115" t="str">
        <f t="shared" si="1"/>
        <v/>
      </c>
    </row>
    <row r="116" spans="1:5">
      <c r="A116" s="64" t="s">
        <v>195</v>
      </c>
      <c r="B116" s="63">
        <f>SUM(Subrecipients[Column4])</f>
        <v>0</v>
      </c>
      <c r="C116" s="63">
        <f>SUM(Subrecipients[Column5])</f>
        <v>0</v>
      </c>
      <c r="D116" s="63">
        <f>SUM(Subrecipients[Column6])</f>
        <v>0</v>
      </c>
      <c r="E116" t="str">
        <f t="shared" si="1"/>
        <v/>
      </c>
    </row>
    <row r="117" spans="1:5">
      <c r="A117" s="64" t="s">
        <v>202</v>
      </c>
      <c r="B117" s="63">
        <f>SUM(Contractors[Column4])</f>
        <v>0</v>
      </c>
      <c r="C117" s="63">
        <f>SUM(Contractors[Column5])</f>
        <v>0</v>
      </c>
      <c r="D117" s="63">
        <f>SUM(Contractors[Column6])</f>
        <v>0</v>
      </c>
      <c r="E117" t="str">
        <f t="shared" si="1"/>
        <v/>
      </c>
    </row>
    <row r="118" spans="1:5">
      <c r="A118" s="64" t="s">
        <v>75</v>
      </c>
      <c r="B118" s="63">
        <f>SUM(ConstructionPA[Column4])</f>
        <v>0</v>
      </c>
      <c r="C118" s="63">
        <f>SUM(ConstructionPA[Column5])</f>
        <v>0</v>
      </c>
      <c r="D118" s="63">
        <f>SUM(ConstructionPA[Column6])</f>
        <v>0</v>
      </c>
      <c r="E118" t="str">
        <f t="shared" si="1"/>
        <v/>
      </c>
    </row>
    <row r="119" spans="1:5">
      <c r="A119" s="64" t="s">
        <v>210</v>
      </c>
      <c r="B119" s="63">
        <f>SUM(Other[Column4])</f>
        <v>0</v>
      </c>
      <c r="C119" s="63">
        <f>SUM(Other[Column5])</f>
        <v>0</v>
      </c>
      <c r="D119" s="63">
        <f>SUM(Other[Column6])</f>
        <v>0</v>
      </c>
      <c r="E119" t="str">
        <f t="shared" si="1"/>
        <v/>
      </c>
    </row>
    <row r="120" spans="1:5">
      <c r="A120" s="64" t="s">
        <v>93</v>
      </c>
      <c r="B120" s="63">
        <f>SUM(IndirectPA[Column5])</f>
        <v>0</v>
      </c>
      <c r="C120" s="63">
        <f>SUM(IndirectPA[Column6])</f>
        <v>0</v>
      </c>
      <c r="D120" s="63">
        <f>SUM(IndirectPA[Column7])</f>
        <v>0</v>
      </c>
      <c r="E120" t="str">
        <f t="shared" si="1"/>
        <v/>
      </c>
    </row>
    <row r="121" spans="1:5">
      <c r="A121" s="64"/>
      <c r="B121" s="63"/>
      <c r="C121" s="63"/>
      <c r="D121" s="63"/>
    </row>
    <row r="122" spans="1:5">
      <c r="A122" s="66" t="s">
        <v>112</v>
      </c>
      <c r="B122" s="63">
        <f>SUM(B111:B120)</f>
        <v>0</v>
      </c>
      <c r="C122" s="63">
        <f>SUM(C111:C120)</f>
        <v>0</v>
      </c>
      <c r="D122" s="63">
        <f>SUM(D111:D120)</f>
        <v>0</v>
      </c>
    </row>
    <row r="123" spans="1:5">
      <c r="A123" s="65" t="s">
        <v>113</v>
      </c>
      <c r="B123" s="67">
        <v>1</v>
      </c>
      <c r="C123" s="68">
        <f>IFERROR(C122/B122,0)</f>
        <v>0</v>
      </c>
      <c r="D123" s="68">
        <f>IFERROR(D122/B122,0)</f>
        <v>0</v>
      </c>
    </row>
    <row r="124" spans="1:5">
      <c r="A124" s="64"/>
      <c r="B124" s="64"/>
      <c r="C124" s="64"/>
      <c r="D124" s="64"/>
    </row>
    <row r="125" spans="1:5">
      <c r="A125" s="66" t="s">
        <v>114</v>
      </c>
      <c r="B125" s="63">
        <f>SUM(Personnel[Column8], Fringe[Column7], EquipmentPA[Column7], Supplies[Column7], Subrecipients[Column7], Contractors[Column7], ConstructionPA[Column7], Other[Column7])</f>
        <v>0</v>
      </c>
      <c r="C125" s="64"/>
      <c r="D125" s="64"/>
    </row>
    <row r="126" spans="1:5">
      <c r="A126" s="65" t="s">
        <v>115</v>
      </c>
      <c r="B126" s="69" t="str">
        <f>IF(B11 =0, "", B11)</f>
        <v/>
      </c>
      <c r="C126" s="64"/>
      <c r="D126" s="64"/>
    </row>
  </sheetData>
  <mergeCells count="5">
    <mergeCell ref="B5:D5"/>
    <mergeCell ref="B9:D9"/>
    <mergeCell ref="B14:D15"/>
    <mergeCell ref="B7:D7"/>
    <mergeCell ref="A39:A41"/>
  </mergeCells>
  <conditionalFormatting sqref="B111:D122">
    <cfRule type="expression" dxfId="102" priority="1">
      <formula>LEN($E111)&gt;0</formula>
    </cfRule>
  </conditionalFormatting>
  <dataValidations count="1">
    <dataValidation type="list" errorStyle="warning" allowBlank="1" showInputMessage="1" showErrorMessage="1" sqref="H105:H106" xr:uid="{A8FE3DA3-E867-434E-8BA6-5C4EE342A450}">
      <formula1>"Recipient, Subrecipient"</formula1>
    </dataValidation>
  </dataValidations>
  <pageMargins left="0.25" right="0.25" top="0.5" bottom="0.5" header="0.3" footer="0.3"/>
  <pageSetup scale="56" fitToHeight="0" orientation="landscape" r:id="rId1"/>
  <headerFooter>
    <oddFooter>&amp;CDetailed Budget - Page &amp;P of &amp;N</oddFooter>
  </headerFooter>
  <tableParts count="10">
    <tablePart r:id="rId2"/>
    <tablePart r:id="rId3"/>
    <tablePart r:id="rId4"/>
    <tablePart r:id="rId5"/>
    <tablePart r:id="rId6"/>
    <tablePart r:id="rId7"/>
    <tablePart r:id="rId8"/>
    <tablePart r:id="rId9"/>
    <tablePart r:id="rId10"/>
    <tablePart r:id="rId1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944E7-2DFD-4065-A482-7AF8754C2F6B}">
  <sheetPr>
    <tabColor theme="0" tint="-0.249977111117893"/>
    <pageSetUpPr fitToPage="1"/>
  </sheetPr>
  <dimension ref="A1:G21"/>
  <sheetViews>
    <sheetView showGridLines="0" zoomScale="120" zoomScaleNormal="100" zoomScalePageLayoutView="120" workbookViewId="0">
      <selection activeCell="D5" sqref="D5"/>
    </sheetView>
  </sheetViews>
  <sheetFormatPr defaultColWidth="8.7109375" defaultRowHeight="13.15"/>
  <cols>
    <col min="1" max="1" width="25.7109375" style="88" customWidth="1"/>
    <col min="2" max="2" width="22" style="88" customWidth="1"/>
    <col min="3" max="7" width="18.28515625" style="88" customWidth="1"/>
    <col min="8" max="16384" width="8.7109375" style="88"/>
  </cols>
  <sheetData>
    <row r="1" spans="1:7" ht="13.15" customHeight="1">
      <c r="A1" s="206" t="s">
        <v>211</v>
      </c>
      <c r="B1" s="206"/>
      <c r="C1" s="206"/>
      <c r="D1" s="206"/>
      <c r="E1" s="206"/>
      <c r="F1" s="206"/>
      <c r="G1" s="206"/>
    </row>
    <row r="3" spans="1:7" ht="18" customHeight="1">
      <c r="A3" s="213" t="s">
        <v>212</v>
      </c>
      <c r="B3" s="213"/>
      <c r="C3" s="213"/>
      <c r="D3" s="213"/>
      <c r="E3" s="213"/>
      <c r="F3" s="213"/>
      <c r="G3" s="213"/>
    </row>
    <row r="4" spans="1:7" ht="12" customHeight="1">
      <c r="A4" s="209" t="s">
        <v>213</v>
      </c>
      <c r="B4" s="210"/>
      <c r="C4" s="216" t="s">
        <v>214</v>
      </c>
      <c r="D4" s="217"/>
      <c r="E4" s="217"/>
      <c r="F4" s="218"/>
      <c r="G4" s="214" t="s">
        <v>215</v>
      </c>
    </row>
    <row r="5" spans="1:7" ht="117" customHeight="1">
      <c r="A5" s="211"/>
      <c r="B5" s="212"/>
      <c r="C5" s="91" t="s">
        <v>36</v>
      </c>
      <c r="D5" s="91" t="s">
        <v>37</v>
      </c>
      <c r="E5" s="89"/>
      <c r="F5" s="89"/>
      <c r="G5" s="215"/>
    </row>
    <row r="6" spans="1:7" s="93" customFormat="1" ht="27" customHeight="1">
      <c r="A6" s="207" t="s">
        <v>216</v>
      </c>
      <c r="B6" s="208"/>
      <c r="C6" s="98">
        <f>SUM(Personnel[Column5])</f>
        <v>0</v>
      </c>
      <c r="D6" s="98">
        <f>SUM(Personnel[Column6])</f>
        <v>0</v>
      </c>
      <c r="E6" s="119"/>
      <c r="F6" s="119"/>
      <c r="G6" s="121">
        <f>SUM(Personnel[Column4])</f>
        <v>0</v>
      </c>
    </row>
    <row r="7" spans="1:7" s="93" customFormat="1" ht="27" customHeight="1">
      <c r="A7" s="207" t="s">
        <v>217</v>
      </c>
      <c r="B7" s="208"/>
      <c r="C7" s="98">
        <f>SUM(Fringe[Column5])</f>
        <v>0</v>
      </c>
      <c r="D7" s="98">
        <f>SUM(Fringe[Column6])</f>
        <v>0</v>
      </c>
      <c r="E7" s="119"/>
      <c r="F7" s="119"/>
      <c r="G7" s="120">
        <f>SUM(Fringe[Column4])</f>
        <v>0</v>
      </c>
    </row>
    <row r="8" spans="1:7" s="93" customFormat="1" ht="27" customHeight="1">
      <c r="A8" s="207" t="s">
        <v>218</v>
      </c>
      <c r="B8" s="208"/>
      <c r="C8" s="98">
        <f>SUM(Travel[Column8])</f>
        <v>0</v>
      </c>
      <c r="D8" s="98">
        <f>SUM(Travel[Column9])</f>
        <v>0</v>
      </c>
      <c r="E8" s="119"/>
      <c r="F8" s="119"/>
      <c r="G8" s="120">
        <f>SUM(Travel[Column9])</f>
        <v>0</v>
      </c>
    </row>
    <row r="9" spans="1:7" s="93" customFormat="1" ht="27" customHeight="1">
      <c r="A9" s="207" t="s">
        <v>219</v>
      </c>
      <c r="B9" s="208"/>
      <c r="C9" s="120">
        <f>SUM(EquipmentPA[Column5])</f>
        <v>0</v>
      </c>
      <c r="D9" s="120">
        <f>SUM(EquipmentPA[Column6])</f>
        <v>0</v>
      </c>
      <c r="E9" s="119"/>
      <c r="F9" s="119"/>
      <c r="G9" s="120">
        <f>SUM(EquipmentPA[Column4])</f>
        <v>0</v>
      </c>
    </row>
    <row r="10" spans="1:7" s="93" customFormat="1" ht="27" customHeight="1">
      <c r="A10" s="207" t="s">
        <v>220</v>
      </c>
      <c r="B10" s="208"/>
      <c r="C10" s="120">
        <f>SUM(Supplies[Column5])</f>
        <v>0</v>
      </c>
      <c r="D10" s="120">
        <f>SUM(Supplies[Column6])</f>
        <v>0</v>
      </c>
      <c r="E10" s="119"/>
      <c r="F10" s="119"/>
      <c r="G10" s="120">
        <f>SUM(Supplies[Column4])</f>
        <v>0</v>
      </c>
    </row>
    <row r="11" spans="1:7" s="93" customFormat="1" ht="27" customHeight="1">
      <c r="A11" s="207" t="s">
        <v>221</v>
      </c>
      <c r="B11" s="208"/>
      <c r="C11" s="98">
        <f>SUM(Subrecipients[Column5])+SUM(Contractors[Column5])</f>
        <v>0</v>
      </c>
      <c r="D11" s="98">
        <f>SUM(Subrecipients[Column6])+SUM(Contractors[Column6])</f>
        <v>0</v>
      </c>
      <c r="E11" s="119"/>
      <c r="F11" s="119"/>
      <c r="G11" s="98">
        <f>SUM(Subrecipients[Column4])+SUM(Contractors[Column4])</f>
        <v>0</v>
      </c>
    </row>
    <row r="12" spans="1:7" s="93" customFormat="1" ht="27" customHeight="1">
      <c r="A12" s="207" t="s">
        <v>222</v>
      </c>
      <c r="B12" s="208"/>
      <c r="C12" s="98">
        <f>SUM(ConstructionPA[Column5])</f>
        <v>0</v>
      </c>
      <c r="D12" s="98">
        <f>SUM(ConstructionPA[Column6])</f>
        <v>0</v>
      </c>
      <c r="E12" s="119"/>
      <c r="F12" s="119"/>
      <c r="G12" s="120">
        <f>SUM(ConstructionPA[Column4])</f>
        <v>0</v>
      </c>
    </row>
    <row r="13" spans="1:7" s="93" customFormat="1" ht="27" customHeight="1">
      <c r="A13" s="207" t="s">
        <v>223</v>
      </c>
      <c r="B13" s="208"/>
      <c r="C13" s="98">
        <f>SUM(Other[Column5])</f>
        <v>0</v>
      </c>
      <c r="D13" s="98">
        <f>SUM(Other[Column6])</f>
        <v>0</v>
      </c>
      <c r="E13" s="119"/>
      <c r="F13" s="119"/>
      <c r="G13" s="120">
        <f>SUM(Other[Column4])</f>
        <v>0</v>
      </c>
    </row>
    <row r="14" spans="1:7" s="93" customFormat="1" ht="27" customHeight="1">
      <c r="A14" s="207" t="s">
        <v>224</v>
      </c>
      <c r="B14" s="208"/>
      <c r="C14" s="98">
        <f>SUM(C6:C13)</f>
        <v>0</v>
      </c>
      <c r="D14" s="98">
        <f>SUM(D6:D13)</f>
        <v>0</v>
      </c>
      <c r="E14" s="119"/>
      <c r="F14" s="119"/>
      <c r="G14" s="98">
        <f>SUM(G6:G13)</f>
        <v>0</v>
      </c>
    </row>
    <row r="15" spans="1:7" s="93" customFormat="1" ht="27" customHeight="1">
      <c r="A15" s="207" t="s">
        <v>225</v>
      </c>
      <c r="B15" s="208"/>
      <c r="C15" s="120">
        <f>SUM(IndirectPA[Column6])</f>
        <v>0</v>
      </c>
      <c r="D15" s="120">
        <f>SUM(IndirectPA[Column7])</f>
        <v>0</v>
      </c>
      <c r="E15" s="119"/>
      <c r="F15" s="119"/>
      <c r="G15" s="120">
        <f>SUM(IndirectPA[Column5])</f>
        <v>0</v>
      </c>
    </row>
    <row r="16" spans="1:7" s="93" customFormat="1" ht="27" customHeight="1">
      <c r="A16" s="207" t="s">
        <v>226</v>
      </c>
      <c r="B16" s="208"/>
      <c r="C16" s="98">
        <f>SUM(C14:C15)</f>
        <v>0</v>
      </c>
      <c r="D16" s="98">
        <f>SUM(D14:D15)</f>
        <v>0</v>
      </c>
      <c r="E16" s="119"/>
      <c r="F16" s="119"/>
      <c r="G16" s="98">
        <f>SUM(G14:G15)</f>
        <v>0</v>
      </c>
    </row>
    <row r="18" spans="1:7" ht="26.65" customHeight="1">
      <c r="A18" s="207" t="s">
        <v>227</v>
      </c>
      <c r="B18" s="208"/>
      <c r="C18" s="92"/>
      <c r="D18" s="92"/>
      <c r="E18" s="92"/>
      <c r="F18" s="92"/>
      <c r="G18" s="92"/>
    </row>
    <row r="19" spans="1:7" ht="3.6" customHeight="1">
      <c r="A19" s="95"/>
      <c r="B19" s="95"/>
      <c r="C19" s="96"/>
      <c r="D19" s="96"/>
      <c r="E19" s="93"/>
      <c r="F19" s="93"/>
      <c r="G19" s="93"/>
    </row>
    <row r="20" spans="1:7" ht="13.9">
      <c r="C20" s="97" t="s">
        <v>228</v>
      </c>
      <c r="D20" s="94"/>
      <c r="G20" s="90" t="s">
        <v>229</v>
      </c>
    </row>
    <row r="21" spans="1:7">
      <c r="C21" s="94"/>
      <c r="D21" s="94"/>
      <c r="G21" s="90" t="s">
        <v>230</v>
      </c>
    </row>
  </sheetData>
  <sheetProtection sheet="1" objects="1" scenarios="1"/>
  <mergeCells count="17">
    <mergeCell ref="A18:B18"/>
    <mergeCell ref="A16:B16"/>
    <mergeCell ref="A1:G1"/>
    <mergeCell ref="A12:B12"/>
    <mergeCell ref="A13:B13"/>
    <mergeCell ref="A14:B14"/>
    <mergeCell ref="A15:B15"/>
    <mergeCell ref="A4:B5"/>
    <mergeCell ref="A6:B6"/>
    <mergeCell ref="A7:B7"/>
    <mergeCell ref="A8:B8"/>
    <mergeCell ref="A9:B9"/>
    <mergeCell ref="A10:B10"/>
    <mergeCell ref="A11:B11"/>
    <mergeCell ref="A3:G3"/>
    <mergeCell ref="G4:G5"/>
    <mergeCell ref="C4:F4"/>
  </mergeCells>
  <pageMargins left="0.5" right="0.5" top="0.5" bottom="0.5" header="0.5" footer="1"/>
  <pageSetup scale="91"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354EE-BD4E-45D1-B6E1-B5D5559D46E4}">
  <dimension ref="A1:P22"/>
  <sheetViews>
    <sheetView topLeftCell="E1" workbookViewId="0">
      <selection activeCell="N14" sqref="N14"/>
    </sheetView>
  </sheetViews>
  <sheetFormatPr defaultRowHeight="14.45"/>
  <cols>
    <col min="2" max="2" width="12.85546875" customWidth="1"/>
    <col min="3" max="3" width="46.7109375" customWidth="1"/>
    <col min="4" max="4" width="46.42578125" customWidth="1"/>
    <col min="5" max="5" width="45.7109375" customWidth="1"/>
    <col min="6" max="6" width="30.85546875" customWidth="1"/>
    <col min="7" max="7" width="26.28515625" customWidth="1"/>
    <col min="8" max="8" width="23.28515625" customWidth="1"/>
    <col min="9" max="9" width="23.140625" customWidth="1"/>
    <col min="10" max="10" width="13.5703125" customWidth="1"/>
    <col min="11" max="11" width="18" customWidth="1"/>
    <col min="12" max="12" width="18.42578125" customWidth="1"/>
    <col min="13" max="13" width="18.140625" customWidth="1"/>
    <col min="14" max="14" width="23.28515625" customWidth="1"/>
    <col min="15" max="15" width="17.42578125" customWidth="1"/>
    <col min="16" max="16" width="23.28515625" customWidth="1"/>
  </cols>
  <sheetData>
    <row r="1" spans="1:16" s="153" customFormat="1">
      <c r="A1" s="154" t="s">
        <v>231</v>
      </c>
    </row>
    <row r="2" spans="1:16" s="153" customFormat="1">
      <c r="A2" s="153" t="s">
        <v>232</v>
      </c>
      <c r="B2" s="154" t="s">
        <v>233</v>
      </c>
      <c r="C2" s="153" t="s">
        <v>106</v>
      </c>
      <c r="D2" s="153" t="s">
        <v>107</v>
      </c>
      <c r="E2" s="153" t="s">
        <v>108</v>
      </c>
      <c r="F2" s="153" t="s">
        <v>109</v>
      </c>
      <c r="G2" s="153" t="s">
        <v>110</v>
      </c>
      <c r="H2" s="153" t="s">
        <v>111</v>
      </c>
      <c r="I2" s="153" t="s">
        <v>72</v>
      </c>
      <c r="J2" s="153" t="s">
        <v>75</v>
      </c>
      <c r="K2" s="153" t="s">
        <v>80</v>
      </c>
      <c r="L2" s="153" t="s">
        <v>85</v>
      </c>
      <c r="M2" s="153" t="s">
        <v>89</v>
      </c>
      <c r="N2" s="153" t="s">
        <v>93</v>
      </c>
      <c r="O2" s="154" t="s">
        <v>234</v>
      </c>
      <c r="P2" s="154" t="s">
        <v>114</v>
      </c>
    </row>
    <row r="3" spans="1:16" s="153" customFormat="1">
      <c r="A3" s="153">
        <v>1</v>
      </c>
      <c r="B3" s="157" t="s">
        <v>105</v>
      </c>
      <c r="C3" s="155">
        <f>SUM(AdminLegal[Column5])</f>
        <v>0</v>
      </c>
      <c r="D3" s="155">
        <f>SUM(Land[Column4])</f>
        <v>0</v>
      </c>
      <c r="E3" s="155">
        <f>SUM(Relocation[Column4])</f>
        <v>0</v>
      </c>
      <c r="F3" s="155">
        <f>SUM(ArchitectEngineering[Column4])</f>
        <v>0</v>
      </c>
      <c r="G3" s="155">
        <f>SUM(Inspections[Column4])</f>
        <v>0</v>
      </c>
      <c r="H3" s="155">
        <f>SUM(SiteWork[Column4])</f>
        <v>0</v>
      </c>
      <c r="I3" s="155">
        <f>SUM(Demolition[Column4])</f>
        <v>0</v>
      </c>
      <c r="J3" s="155">
        <f>SUM(Construction[Column4])</f>
        <v>0</v>
      </c>
      <c r="K3" s="155">
        <f>SUM(Equipment[Column4])</f>
        <v>0</v>
      </c>
      <c r="L3" s="155">
        <f>SUM(Misc[Column4])</f>
        <v>0</v>
      </c>
      <c r="M3" s="155">
        <f>SUM(Contingency[Column1])</f>
        <v>0</v>
      </c>
      <c r="N3" s="155">
        <f>SUM(Indirect[Column5])</f>
        <v>0</v>
      </c>
      <c r="O3" s="155">
        <f>SUM(DevAcqTotals[[#This Row],[Administration 
and legal 
expenses]:[Indirect Costs]])</f>
        <v>0</v>
      </c>
      <c r="P3" s="155">
        <f>SUM(AdminLegal[Column7], Land[Column7], Relocation[Column7], ArchitectEngineering[Column7], Inspections[Column7], SiteWork[Column7], Demolition[Column7], Construction[Column7],Equipment[Column7], Misc[Column7])</f>
        <v>0</v>
      </c>
    </row>
    <row r="4" spans="1:16" s="153" customFormat="1">
      <c r="A4" s="153">
        <v>2</v>
      </c>
      <c r="B4" s="157" t="s">
        <v>36</v>
      </c>
      <c r="C4" s="155">
        <f>SUM(AdminLegal[Column6])</f>
        <v>0</v>
      </c>
      <c r="D4" s="155">
        <f>SUM(Land[Column5])</f>
        <v>0</v>
      </c>
      <c r="E4" s="155">
        <f>SUM(Relocation[Column5])</f>
        <v>0</v>
      </c>
      <c r="F4" s="155">
        <f>SUM(ArchitectEngineering[Column5])</f>
        <v>0</v>
      </c>
      <c r="G4" s="155">
        <f>SUM(Inspections[Column5])</f>
        <v>0</v>
      </c>
      <c r="H4" s="155">
        <f>SUM(SiteWork[Column5])</f>
        <v>0</v>
      </c>
      <c r="I4" s="155">
        <f>SUM(Demolition[Column5])</f>
        <v>0</v>
      </c>
      <c r="J4" s="155">
        <f>SUM(Construction[Column5])</f>
        <v>0</v>
      </c>
      <c r="K4" s="155">
        <f>SUM(Equipment[Column5])</f>
        <v>0</v>
      </c>
      <c r="L4" s="155">
        <f>SUM(Misc[Column5])</f>
        <v>0</v>
      </c>
      <c r="M4" s="155">
        <f>SUM(Contingency[Column2])</f>
        <v>0</v>
      </c>
      <c r="N4" s="155">
        <f>SUM(Indirect[Column6])</f>
        <v>0</v>
      </c>
      <c r="O4" s="155">
        <f>SUM(DevAcqTotals[[#This Row],[Administration 
and legal 
expenses]:[Indirect Costs]])</f>
        <v>0</v>
      </c>
    </row>
    <row r="5" spans="1:16" s="153" customFormat="1">
      <c r="A5" s="153">
        <v>3</v>
      </c>
      <c r="B5" s="157" t="s">
        <v>37</v>
      </c>
      <c r="C5" s="156">
        <f>SUM(AdminLegal[Column7])</f>
        <v>0</v>
      </c>
      <c r="D5" s="155">
        <f>SUM(Land[Column6])</f>
        <v>0</v>
      </c>
      <c r="E5" s="155">
        <f>SUM(Relocation[Column6])</f>
        <v>0</v>
      </c>
      <c r="F5" s="155">
        <f>SUM(ArchitectEngineering[Column6])</f>
        <v>0</v>
      </c>
      <c r="G5" s="155">
        <f>SUM(Inspections[Column6])</f>
        <v>0</v>
      </c>
      <c r="H5" s="155">
        <f>SUM(SiteWork[Column6])</f>
        <v>0</v>
      </c>
      <c r="I5" s="155">
        <f>SUM(Demolition[Column6])</f>
        <v>0</v>
      </c>
      <c r="J5" s="155">
        <f>SUM(Construction[Column6])</f>
        <v>0</v>
      </c>
      <c r="K5" s="155">
        <f>SUM(Equipment[Column6])</f>
        <v>0</v>
      </c>
      <c r="L5" s="155">
        <f>SUM(Misc[Column6])</f>
        <v>0</v>
      </c>
      <c r="M5" s="155">
        <f>SUM(Contingency[Column3])</f>
        <v>0</v>
      </c>
      <c r="N5" s="155">
        <f>SUM(Indirect[Column7])</f>
        <v>0</v>
      </c>
      <c r="O5" s="155">
        <f>SUM(DevAcqTotals[[#This Row],[Administration 
and legal 
expenses]:[Indirect Costs]])</f>
        <v>0</v>
      </c>
    </row>
    <row r="6" spans="1:16" s="153" customFormat="1"/>
    <row r="7" spans="1:16" s="153" customFormat="1">
      <c r="A7" s="154" t="s">
        <v>235</v>
      </c>
    </row>
    <row r="8" spans="1:16" s="153" customFormat="1">
      <c r="A8" s="163" t="s">
        <v>232</v>
      </c>
      <c r="B8" s="163" t="s">
        <v>19</v>
      </c>
      <c r="C8" s="164" t="s">
        <v>20</v>
      </c>
      <c r="D8" s="164" t="s">
        <v>21</v>
      </c>
      <c r="E8" s="164" t="s">
        <v>198</v>
      </c>
      <c r="F8" s="165" t="s">
        <v>23</v>
      </c>
      <c r="G8" s="166" t="s">
        <v>156</v>
      </c>
      <c r="H8" s="164" t="s">
        <v>27</v>
      </c>
      <c r="I8" s="167" t="s">
        <v>236</v>
      </c>
    </row>
    <row r="9" spans="1:16" s="153" customFormat="1">
      <c r="A9" s="153">
        <v>1</v>
      </c>
      <c r="B9" s="153" t="str">
        <f>_xlfn.CONCAT('Park Development &amp; Acquisition'!B5:D5)</f>
        <v/>
      </c>
      <c r="C9" s="153" t="str">
        <f>_xlfn.CONCAT('Park Development &amp; Acquisition'!B7:D7)</f>
        <v/>
      </c>
      <c r="D9" s="153" t="str">
        <f>_xlfn.CONCAT('Park Development &amp; Acquisition'!B9:D9)</f>
        <v/>
      </c>
      <c r="E9" s="153" t="str">
        <f>_xlfn.CONCAT('Park Development &amp; Acquisition'!B11:D11)</f>
        <v/>
      </c>
      <c r="F9" s="162" t="str">
        <f>IF(ISBLANK('Park Development &amp; Acquisition'!B13), "", 'Park Development &amp; Acquisition'!B13)</f>
        <v/>
      </c>
      <c r="G9" s="153" t="str">
        <f>_xlfn.CONCAT('Park Development &amp; Acquisition'!B16:D17)</f>
        <v/>
      </c>
      <c r="H9" s="153" t="str">
        <f>_xlfn.CONCAT('Park Development &amp; Acquisition'!B19:D20)</f>
        <v/>
      </c>
      <c r="I9" s="155" t="str">
        <f>_xlfn.CONCAT('Park Development &amp; Acquisition'!D110:I110)</f>
        <v/>
      </c>
    </row>
    <row r="10" spans="1:16" s="153" customFormat="1"/>
    <row r="11" spans="1:16" s="153" customFormat="1">
      <c r="A11" s="154" t="s">
        <v>237</v>
      </c>
    </row>
    <row r="12" spans="1:16">
      <c r="A12" s="153" t="s">
        <v>232</v>
      </c>
      <c r="B12" s="153" t="s">
        <v>233</v>
      </c>
      <c r="C12" s="153" t="s">
        <v>158</v>
      </c>
      <c r="D12" s="153" t="s">
        <v>167</v>
      </c>
      <c r="E12" s="153" t="s">
        <v>170</v>
      </c>
      <c r="F12" s="153" t="s">
        <v>80</v>
      </c>
      <c r="G12" s="153" t="s">
        <v>189</v>
      </c>
      <c r="H12" s="153" t="s">
        <v>195</v>
      </c>
      <c r="I12" s="153" t="s">
        <v>202</v>
      </c>
      <c r="J12" s="153" t="s">
        <v>75</v>
      </c>
      <c r="K12" s="153" t="s">
        <v>210</v>
      </c>
      <c r="L12" s="153" t="s">
        <v>93</v>
      </c>
      <c r="M12" s="154" t="s">
        <v>234</v>
      </c>
      <c r="N12" s="154" t="s">
        <v>114</v>
      </c>
    </row>
    <row r="13" spans="1:16">
      <c r="A13" s="153">
        <v>1</v>
      </c>
      <c r="B13" s="157" t="s">
        <v>105</v>
      </c>
      <c r="C13" s="155">
        <f>SUM(Personnel[Column5])</f>
        <v>0</v>
      </c>
      <c r="D13" s="155">
        <f>SUM(Fringe[Column4])</f>
        <v>0</v>
      </c>
      <c r="E13" s="155">
        <f>SUM(Travel[Column7])</f>
        <v>0</v>
      </c>
      <c r="F13" s="155">
        <f>SUM(EquipmentPA[Column4])</f>
        <v>0</v>
      </c>
      <c r="G13" s="155">
        <f>SUM(Supplies[Column4])</f>
        <v>0</v>
      </c>
      <c r="H13" s="155">
        <f>SUM(Subrecipients[Column4])</f>
        <v>0</v>
      </c>
      <c r="I13" s="155">
        <f>SUM(Contractors[Column4])</f>
        <v>0</v>
      </c>
      <c r="J13" s="155">
        <f>SUM(ConstructionPA[Column4])</f>
        <v>0</v>
      </c>
      <c r="K13" s="155">
        <f>SUM(Other[Column4])</f>
        <v>0</v>
      </c>
      <c r="L13" s="155">
        <f>SUM(IndirectPA[Column5])</f>
        <v>0</v>
      </c>
      <c r="M13" s="155">
        <f>SUM(PlanningAdminTotals[[#This Row],[Personnel]:[Indirect Costs]])</f>
        <v>0</v>
      </c>
      <c r="N13" s="155">
        <f>SUM(Personnel[Column8], Fringe[Column7], EquipmentPA[Column7], Supplies[Column7], Subrecipients[Column7], Contractors[Column7], ConstructionPA[Column7], Other[Column7])</f>
        <v>0</v>
      </c>
    </row>
    <row r="14" spans="1:16">
      <c r="A14" s="153">
        <v>2</v>
      </c>
      <c r="B14" s="157" t="s">
        <v>36</v>
      </c>
      <c r="C14" s="155">
        <f>SUM(Personnel[Column6])</f>
        <v>0</v>
      </c>
      <c r="D14" s="155">
        <f>SUM(Fringe[Column5])</f>
        <v>0</v>
      </c>
      <c r="E14" s="155">
        <f>SUM(Travel[Column8])</f>
        <v>0</v>
      </c>
      <c r="F14" s="155">
        <f>SUM(EquipmentPA[Column5])</f>
        <v>0</v>
      </c>
      <c r="G14" s="155">
        <f>SUM(Supplies[Column5])</f>
        <v>0</v>
      </c>
      <c r="H14" s="155">
        <f>SUM(Subrecipients[Column5])</f>
        <v>0</v>
      </c>
      <c r="I14" s="155">
        <f>SUM(Contractors[Column5])</f>
        <v>0</v>
      </c>
      <c r="J14" s="155">
        <f>SUM(ConstructionPA[Column5])</f>
        <v>0</v>
      </c>
      <c r="K14" s="155">
        <f>SUM(Other[Column5])</f>
        <v>0</v>
      </c>
      <c r="L14" s="155">
        <f>SUM(IndirectPA[Column6])</f>
        <v>0</v>
      </c>
      <c r="M14" s="155">
        <f>SUM(PlanningAdminTotals[[#This Row],[Personnel]:[Indirect Costs]])</f>
        <v>0</v>
      </c>
      <c r="N14" s="155">
        <f>SUM(Personnel[Column8], Fringe[Column7], EquipmentPA[Column7], Supplies[Column7], Subrecipients[Column7], Contractors[Column7], ConstructionPA[Column7], Other[Column7])</f>
        <v>0</v>
      </c>
    </row>
    <row r="15" spans="1:16">
      <c r="A15" s="153">
        <v>3</v>
      </c>
      <c r="B15" s="157" t="s">
        <v>37</v>
      </c>
      <c r="C15" s="156">
        <f>SUM(Personnel[Column7])</f>
        <v>0</v>
      </c>
      <c r="D15" s="155">
        <f>SUM(Fringe[Column6])</f>
        <v>0</v>
      </c>
      <c r="E15" s="155">
        <f>SUM(Travel[Column9])</f>
        <v>0</v>
      </c>
      <c r="F15" s="155">
        <f>SUM(EquipmentPA[Column6])</f>
        <v>0</v>
      </c>
      <c r="G15" s="155">
        <f>SUM(Supplies[Column6])</f>
        <v>0</v>
      </c>
      <c r="H15" s="155">
        <f>SUM(Subrecipients[Column6])</f>
        <v>0</v>
      </c>
      <c r="I15" s="155">
        <f>SUM(Contractors[Column6])</f>
        <v>0</v>
      </c>
      <c r="J15" s="155">
        <f>SUM(ConstructionPA[Column6])</f>
        <v>0</v>
      </c>
      <c r="K15" s="155">
        <f>SUM(Other[Column6])</f>
        <v>0</v>
      </c>
      <c r="L15" s="155">
        <f>SUM(IndirectPA[Column7])</f>
        <v>0</v>
      </c>
      <c r="M15" s="155">
        <f>SUM(PlanningAdminTotals[[#This Row],[Personnel]:[Indirect Costs]])</f>
        <v>0</v>
      </c>
      <c r="N15" s="155">
        <f>SUM(Personnel[Column8], Fringe[Column7], EquipmentPA[Column7], Supplies[Column7], Subrecipients[Column7], Contractors[Column7], ConstructionPA[Column7], Other[Column7])</f>
        <v>0</v>
      </c>
    </row>
    <row r="17" spans="1:6">
      <c r="A17" s="3" t="s">
        <v>238</v>
      </c>
    </row>
    <row r="18" spans="1:6">
      <c r="A18" s="170" t="s">
        <v>232</v>
      </c>
      <c r="B18" s="168" t="s">
        <v>19</v>
      </c>
      <c r="C18" s="159" t="s">
        <v>20</v>
      </c>
      <c r="D18" s="160" t="s">
        <v>21</v>
      </c>
      <c r="E18" s="161" t="s">
        <v>23</v>
      </c>
      <c r="F18" s="169" t="s">
        <v>156</v>
      </c>
    </row>
    <row r="19" spans="1:6">
      <c r="A19" s="157">
        <v>1</v>
      </c>
      <c r="B19" t="str">
        <f>_xlfn.CONCAT('Planning &amp; Admin'!B5:D5)</f>
        <v/>
      </c>
      <c r="C19" t="str">
        <f>_xlfn.CONCAT('Planning &amp; Admin'!B7:D7)</f>
        <v/>
      </c>
      <c r="D19" t="str">
        <f>_xlfn.CONCAT('Planning &amp; Admin'!B9:D9)</f>
        <v/>
      </c>
      <c r="E19" t="str">
        <f>IF(ISBLANK('Planning &amp; Admin'!B11), "", 'Planning &amp; Admin'!B11)</f>
        <v/>
      </c>
      <c r="F19" t="str">
        <f>_xlfn.CONCAT('Planning &amp; Admin'!B14:D15)</f>
        <v/>
      </c>
    </row>
    <row r="20" spans="1:6">
      <c r="A20" s="112"/>
    </row>
    <row r="21" spans="1:6">
      <c r="A21" s="19"/>
    </row>
    <row r="22" spans="1:6">
      <c r="A22" s="75"/>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LG Documents" ma:contentTypeID="0x010100DD81549B557B3044B885155E81CEFB8300BF4F60ED156CE94681D2DE44B6E56191" ma:contentTypeVersion="4" ma:contentTypeDescription="" ma:contentTypeScope="" ma:versionID="5c133feb7baf388f0072c1d10ba81133">
  <xsd:schema xmlns:xsd="http://www.w3.org/2001/XMLSchema" xmlns:xs="http://www.w3.org/2001/XMLSchema" xmlns:p="http://schemas.microsoft.com/office/2006/metadata/properties" xmlns:ns2="e1c8c58c-2a2c-4b83-bbaa-89d7d2189847" targetNamespace="http://schemas.microsoft.com/office/2006/metadata/properties" ma:root="true" ma:fieldsID="9d53864d4643d6a089dcb476a7d3e9ae" ns2:_="">
    <xsd:import namespace="e1c8c58c-2a2c-4b83-bbaa-89d7d2189847"/>
    <xsd:element name="properties">
      <xsd:complexType>
        <xsd:sequence>
          <xsd:element name="documentManagement">
            <xsd:complexType>
              <xsd:all>
                <xsd:element ref="ns2:Document_x0020_Type" minOccurs="0"/>
                <xsd:element ref="ns2:Document_x0020_Sub-Section" minOccurs="0"/>
                <xsd:element ref="ns2:CDBG_x0020_Chapters" minOccurs="0"/>
                <xsd:element ref="ns2:Chapter_x0020_Ra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c8c58c-2a2c-4b83-bbaa-89d7d2189847" elementFormDefault="qualified">
    <xsd:import namespace="http://schemas.microsoft.com/office/2006/documentManagement/types"/>
    <xsd:import namespace="http://schemas.microsoft.com/office/infopath/2007/PartnerControls"/>
    <xsd:element name="Document_x0020_Type" ma:index="8" nillable="true" ma:displayName="Document Type" ma:internalName="Document_x0020_Type">
      <xsd:complexType>
        <xsd:complexContent>
          <xsd:extension base="dms:MultiChoice">
            <xsd:sequence>
              <xsd:element name="Value" maxOccurs="unbounded" minOccurs="0" nillable="true">
                <xsd:simpleType>
                  <xsd:restriction base="dms:Choice">
                    <xsd:enumeration value="City"/>
                    <xsd:enumeration value="Conference"/>
                    <xsd:enumeration value="County"/>
                    <xsd:enumeration value="Debt"/>
                    <xsd:enumeration value="eClearinghouse"/>
                    <xsd:enumeration value="Employee Resources"/>
                    <xsd:enumeration value="Federal Grants"/>
                    <xsd:enumeration value="Legal"/>
                    <xsd:enumeration value="State Grants"/>
                    <xsd:enumeration value="Training"/>
                  </xsd:restriction>
                </xsd:simpleType>
              </xsd:element>
            </xsd:sequence>
          </xsd:extension>
        </xsd:complexContent>
      </xsd:complexType>
    </xsd:element>
    <xsd:element name="Document_x0020_Sub-Section" ma:index="9" nillable="true" ma:displayName="Document Sub-Section" ma:internalName="Document_x0020_Sub_x002d_Section">
      <xsd:complexType>
        <xsd:complexContent>
          <xsd:extension base="dms:MultiChoice">
            <xsd:sequence>
              <xsd:element name="Value" maxOccurs="unbounded" minOccurs="0" nillable="true">
                <xsd:simpleType>
                  <xsd:restriction base="dms:Choice">
                    <xsd:enumeration value="ARC"/>
                    <xsd:enumeration value="BABA"/>
                    <xsd:enumeration value="CDBG"/>
                    <xsd:enumeration value="City UFIR"/>
                    <xsd:enumeration value="Covid-19"/>
                    <xsd:enumeration value="Disaster"/>
                    <xsd:enumeration value="DRA"/>
                    <xsd:enumeration value="LWCF"/>
                    <xsd:enumeration value="NSP"/>
                    <xsd:enumeration value="RHP"/>
                    <xsd:enumeration value="RTP"/>
                    <xsd:enumeration value="Ethics Ordinances"/>
                    <xsd:enumeration value="Interlocal Agreements"/>
                    <xsd:enumeration value="Public-Private Partnerships"/>
                    <xsd:enumeration value="ADDs"/>
                    <xsd:enumeration value="Coal Development"/>
                    <xsd:enumeration value="Flood Control"/>
                    <xsd:enumeration value="Grant Program"/>
                    <xsd:enumeration value="Special Programs"/>
                    <xsd:enumeration value="2021 CDBG-DR Programs &amp; Projects"/>
                    <xsd:enumeration value="2022 CDBG-DR Programs &amp; Projects"/>
                    <xsd:enumeration value="CDBG Guidelines and Applications"/>
                    <xsd:enumeration value="CDBG Handbook"/>
                    <xsd:enumeration value="CDBG Handbook Only"/>
                    <xsd:enumeration value="CDBG Resources and Forms"/>
                    <xsd:enumeration value="CDBG-DR Performance Reports"/>
                    <xsd:enumeration value="City other downloads"/>
                    <xsd:enumeration value="City Statute Reports"/>
                    <xsd:enumeration value="City Tax Rates Info"/>
                    <xsd:enumeration value="Coal Severance"/>
                    <xsd:enumeration value="Local Government Debt"/>
                    <xsd:enumeration value="RDAAP"/>
                    <xsd:enumeration value="PRICE Program"/>
                    <xsd:enumeration value="KORRRA"/>
                    <xsd:enumeration value="County Budget Workshop"/>
                  </xsd:restriction>
                </xsd:simpleType>
              </xsd:element>
            </xsd:sequence>
          </xsd:extension>
        </xsd:complexContent>
      </xsd:complexType>
    </xsd:element>
    <xsd:element name="CDBG_x0020_Chapters" ma:index="10" nillable="true" ma:displayName="CDBG Chapters" ma:format="Dropdown" ma:internalName="CDBG_x0020_Chapters">
      <xsd:simpleType>
        <xsd:restriction base="dms:Choice">
          <xsd:enumeration value="Chapter 00: Introduction"/>
          <xsd:enumeration value="Chapter 1: Project Administration"/>
          <xsd:enumeration value="Chapter 2: Environmental Review"/>
          <xsd:enumeration value="Chapter 3: Financial Management"/>
          <xsd:enumeration value="Chapter 4: Procurement"/>
          <xsd:enumeration value="Chapter 5: Contracting"/>
          <xsd:enumeration value="Chapter 6: Labor Standards and Construction Management"/>
          <xsd:enumeration value="Chapter 7: Fair Housing and Equal Opportunity"/>
          <xsd:enumeration value="Chapter 8: Relocation, Displacement and One-for-One Replacement"/>
          <xsd:enumeration value="Chapter 9: Acquisition"/>
          <xsd:enumeration value="Chapter 10: Housing"/>
          <xsd:enumeration value="Chapter 10: Duplication of Benefits"/>
          <xsd:enumeration value="Chapter 11: Green Building Requirements"/>
          <xsd:enumeration value="Chapter 11: Economic Development"/>
          <xsd:enumeration value="Chapter 12: Mitigation Requirements"/>
          <xsd:enumeration value="Chapter 12: Amendments and Monitoring"/>
          <xsd:enumeration value="Chapter 13: Close Out"/>
          <xsd:enumeration value="Chapter 13: Amendments and Monitoring"/>
          <xsd:enumeration value="Chapter 14: Project Closeout"/>
          <xsd:enumeration value="Chapter 15: Procedures to Detect Fraud, Waste and Abuse"/>
          <xsd:enumeration value="Guidelines"/>
          <xsd:enumeration value="Applications"/>
          <xsd:enumeration value="​​Administrative Forms"/>
          <xsd:enumeration value="Labor"/>
          <xsd:enumeration value="Fair Housing and Title VI"/>
          <xsd:enumeration value="Uniform Act​"/>
          <xsd:enumeration value="Environmental Review"/>
        </xsd:restriction>
      </xsd:simpleType>
    </xsd:element>
    <xsd:element name="Chapter_x0020_Rank" ma:index="11" nillable="true" ma:displayName="Chapter Rank" ma:format="Dropdown" ma:internalName="Chapter_x0020_Rank">
      <xsd:simpleType>
        <xsd:restriction base="dms:Choice">
          <xsd:enumeration value="00"/>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enumeration value="13"/>
          <xsd:enumeration value="14"/>
          <xsd:enumeration value="15"/>
          <xsd:enumeration value="16"/>
          <xsd:enumeration value="17"/>
          <xsd:enumeration value="18"/>
          <xsd:enumeration value="19"/>
          <xsd:enumeration value="2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0 4 j p W k 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D T i O l 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0 4 j p W i i K R 7 g O A A A A E Q A A A B M A H A B G b 3 J t d W x h c y 9 T Z W N 0 a W 9 u M S 5 t I K I Y A C i g F A A A A A A A A A A A A A A A A A A A A A A A A A A A A C t O T S 7 J z M 9 T C I b Q h t Y A U E s B A i 0 A F A A C A A g A 0 4 j p W k U E 8 i C j A A A A 9 g A A A B I A A A A A A A A A A A A A A A A A A A A A A E N v b m Z p Z y 9 Q Y W N r Y W d l L n h t b F B L A Q I t A B Q A A g A I A N O I 6 V o P y u m r p A A A A O k A A A A T A A A A A A A A A A A A A A A A A O 8 A A A B b Q 2 9 u d G V u d F 9 U e X B l c 1 0 u e G 1 s U E s B A i 0 A F A A C A A g A 0 4 j p 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6 I u m P D v E B G l g L N I 2 l R o h o A A A A A A g A A A A A A A 2 Y A A M A A A A A Q A A A A c L 8 0 m j 3 A 9 g F 1 Y P H 5 S O n C y A A A A A A E g A A A o A A A A B A A A A D t K E O P D 5 Q u Y o l 0 A x O / 7 V 0 c U A A A A B y L b L e O v k A Y B W r x n a c q / X J n X e e E 3 9 Z S D A h f v 8 o O p h / U P 5 Q L G n m 7 / f V 5 r n / Y p L I g O v z d + F Q 8 1 j y Q m H 8 f u C 0 g V O 4 / d g R 0 G c A O t 1 U O h v c H k K 3 J F A A A A A i / x 9 k R O k a Z C v k y g R F n P a 2 2 C w S s < / D a t a M a s h u p > 
</file>

<file path=customXml/item4.xml><?xml version="1.0" encoding="utf-8"?>
<p:properties xmlns:p="http://schemas.microsoft.com/office/2006/metadata/properties" xmlns:xsi="http://www.w3.org/2001/XMLSchema-instance" xmlns:pc="http://schemas.microsoft.com/office/infopath/2007/PartnerControls">
  <documentManagement>
    <Document_x0020_Type xmlns="e1c8c58c-2a2c-4b83-bbaa-89d7d2189847">
      <Value>Federal Grants</Value>
    </Document_x0020_Type>
    <Chapter_x0020_Rank xmlns="e1c8c58c-2a2c-4b83-bbaa-89d7d2189847" xsi:nil="true"/>
    <CDBG_x0020_Chapters xmlns="e1c8c58c-2a2c-4b83-bbaa-89d7d2189847" xsi:nil="true"/>
    <Document_x0020_Sub-Section xmlns="e1c8c58c-2a2c-4b83-bbaa-89d7d2189847">
      <Value>LWCF</Value>
    </Document_x0020_Sub-Section>
  </documentManagement>
</p:properties>
</file>

<file path=customXml/itemProps1.xml><?xml version="1.0" encoding="utf-8"?>
<ds:datastoreItem xmlns:ds="http://schemas.openxmlformats.org/officeDocument/2006/customXml" ds:itemID="{33443881-9E77-487F-8D1C-4919F02D88BB}"/>
</file>

<file path=customXml/itemProps2.xml><?xml version="1.0" encoding="utf-8"?>
<ds:datastoreItem xmlns:ds="http://schemas.openxmlformats.org/officeDocument/2006/customXml" ds:itemID="{86CD8825-DB99-421F-BE59-D8D2648CB80C}"/>
</file>

<file path=customXml/itemProps3.xml><?xml version="1.0" encoding="utf-8"?>
<ds:datastoreItem xmlns:ds="http://schemas.openxmlformats.org/officeDocument/2006/customXml" ds:itemID="{FF813A74-7BF4-49B0-93A4-736DA170700A}"/>
</file>

<file path=customXml/itemProps4.xml><?xml version="1.0" encoding="utf-8"?>
<ds:datastoreItem xmlns:ds="http://schemas.openxmlformats.org/officeDocument/2006/customXml" ds:itemID="{9850D790-3FF4-446F-B288-A1651713A34F}"/>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Department of the Interior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Detailed Budget for LWCF Grants (2.2.2026)</dc:title>
  <dc:subject/>
  <dc:creator>Csaposs, Henry E</dc:creator>
  <cp:keywords/>
  <dc:description/>
  <cp:lastModifiedBy/>
  <cp:revision/>
  <dcterms:created xsi:type="dcterms:W3CDTF">2025-06-18T22:21:37Z</dcterms:created>
  <dcterms:modified xsi:type="dcterms:W3CDTF">2026-03-03T18:13:03Z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0x010100DD81549B557B3044B885155E81CEFB8300BF4F60ED156CE94681D2DE44B6E56191</vt:lpwstr>
  </property>
</Properties>
</file>